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5.Compras y contataciones\B. PLAN ANUAL DE COMPRAS Y CONTRATACIONES\2023\"/>
    </mc:Choice>
  </mc:AlternateContent>
  <xr:revisionPtr revIDLastSave="0" documentId="13_ncr:1_{89B20B43-6635-4B33-83AB-E43FC3A342E1}" xr6:coauthVersionLast="47" xr6:coauthVersionMax="47" xr10:uidLastSave="{00000000-0000-0000-0000-000000000000}"/>
  <bookViews>
    <workbookView xWindow="28680" yWindow="-120" windowWidth="21840" windowHeight="13020" xr2:uid="{E1D5F707-EBA2-4F79-85BE-44B465AF17C6}"/>
  </bookViews>
  <sheets>
    <sheet name="PACC AÑO 2023" sheetId="1" r:id="rId1"/>
  </sheets>
  <externalReferences>
    <externalReference r:id="rId2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'PACC AÑO 2023'!$E:$E</definedName>
    <definedName name="TotalEstColumnValue">'PACC AÑO 2023'!$F:$F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5" i="1" l="1"/>
  <c r="I325" i="1"/>
  <c r="H325" i="1"/>
  <c r="C324" i="1"/>
  <c r="C323" i="1"/>
  <c r="C322" i="1"/>
  <c r="C321" i="1"/>
  <c r="C320" i="1"/>
  <c r="C319" i="1"/>
  <c r="C316" i="1"/>
  <c r="C314" i="1"/>
  <c r="J309" i="1"/>
  <c r="I309" i="1"/>
  <c r="H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0" i="1"/>
  <c r="C288" i="1"/>
  <c r="J283" i="1"/>
  <c r="I283" i="1"/>
  <c r="H283" i="1"/>
  <c r="C282" i="1"/>
  <c r="C281" i="1"/>
  <c r="C278" i="1"/>
  <c r="C276" i="1"/>
  <c r="J271" i="1"/>
  <c r="I271" i="1"/>
  <c r="H271" i="1"/>
  <c r="C270" i="1"/>
  <c r="C269" i="1"/>
  <c r="C268" i="1"/>
  <c r="C267" i="1"/>
  <c r="C266" i="1"/>
  <c r="C265" i="1"/>
  <c r="C264" i="1"/>
  <c r="C263" i="1"/>
  <c r="C262" i="1"/>
  <c r="C261" i="1"/>
  <c r="C260" i="1"/>
  <c r="C257" i="1"/>
  <c r="C255" i="1"/>
  <c r="J250" i="1"/>
  <c r="I250" i="1"/>
  <c r="H250" i="1"/>
  <c r="C249" i="1"/>
  <c r="C246" i="1"/>
  <c r="C244" i="1"/>
  <c r="J239" i="1"/>
  <c r="I239" i="1"/>
  <c r="H239" i="1"/>
  <c r="C238" i="1"/>
  <c r="C235" i="1"/>
  <c r="C233" i="1"/>
  <c r="J228" i="1"/>
  <c r="I228" i="1"/>
  <c r="H228" i="1"/>
  <c r="C227" i="1"/>
  <c r="C224" i="1"/>
  <c r="C222" i="1"/>
  <c r="J217" i="1"/>
  <c r="I217" i="1"/>
  <c r="H217" i="1"/>
  <c r="C216" i="1"/>
  <c r="C214" i="1"/>
  <c r="C213" i="1"/>
  <c r="C212" i="1"/>
  <c r="C211" i="1"/>
  <c r="C208" i="1"/>
  <c r="C206" i="1"/>
  <c r="J201" i="1"/>
  <c r="I201" i="1"/>
  <c r="H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7" i="1"/>
  <c r="C175" i="1"/>
  <c r="J170" i="1"/>
  <c r="I170" i="1"/>
  <c r="H170" i="1"/>
  <c r="C169" i="1"/>
  <c r="C168" i="1"/>
  <c r="C167" i="1"/>
  <c r="C166" i="1"/>
  <c r="C165" i="1"/>
  <c r="C162" i="1"/>
  <c r="C160" i="1"/>
  <c r="J155" i="1"/>
  <c r="I155" i="1"/>
  <c r="H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0" i="1"/>
  <c r="C138" i="1"/>
  <c r="J133" i="1"/>
  <c r="I133" i="1"/>
  <c r="H133" i="1"/>
  <c r="C132" i="1"/>
  <c r="C131" i="1"/>
  <c r="C130" i="1"/>
  <c r="C129" i="1"/>
  <c r="C128" i="1"/>
  <c r="C127" i="1"/>
  <c r="C126" i="1"/>
  <c r="C125" i="1"/>
  <c r="C122" i="1"/>
  <c r="C120" i="1"/>
  <c r="J115" i="1"/>
  <c r="I115" i="1"/>
  <c r="H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89" i="1"/>
  <c r="C87" i="1"/>
  <c r="J82" i="1"/>
  <c r="I82" i="1"/>
  <c r="H82" i="1"/>
  <c r="C81" i="1"/>
  <c r="C80" i="1"/>
  <c r="C77" i="1"/>
  <c r="C75" i="1"/>
  <c r="J70" i="1"/>
  <c r="I70" i="1"/>
  <c r="H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4" i="1"/>
  <c r="C52" i="1"/>
  <c r="J47" i="1"/>
  <c r="I47" i="1"/>
  <c r="H47" i="1"/>
  <c r="C46" i="1"/>
  <c r="C45" i="1"/>
  <c r="C44" i="1"/>
  <c r="C43" i="1"/>
  <c r="C42" i="1"/>
  <c r="C41" i="1"/>
  <c r="C40" i="1"/>
  <c r="C39" i="1"/>
  <c r="C38" i="1"/>
  <c r="C37" i="1"/>
  <c r="C36" i="1"/>
  <c r="C33" i="1"/>
  <c r="C31" i="1"/>
  <c r="J26" i="1"/>
  <c r="I26" i="1"/>
  <c r="H26" i="1"/>
  <c r="C25" i="1"/>
  <c r="C24" i="1"/>
  <c r="C23" i="1"/>
  <c r="C20" i="1"/>
  <c r="C18" i="1"/>
  <c r="B3" i="1"/>
  <c r="B132" i="1"/>
  <c r="F114" i="1"/>
  <c r="B264" i="1"/>
  <c r="F303" i="1"/>
  <c r="F300" i="1"/>
  <c r="F131" i="1"/>
  <c r="B167" i="1"/>
  <c r="F249" i="1"/>
  <c r="F105" i="1"/>
  <c r="B238" i="1"/>
  <c r="F68" i="1"/>
  <c r="B113" i="1"/>
  <c r="F113" i="1"/>
  <c r="F281" i="1"/>
  <c r="F324" i="1"/>
  <c r="F293" i="1"/>
  <c r="B184" i="1"/>
  <c r="F265" i="1"/>
  <c r="F126" i="1"/>
  <c r="B227" i="1"/>
  <c r="F166" i="1"/>
  <c r="F198" i="1"/>
  <c r="B92" i="1"/>
  <c r="F110" i="1"/>
  <c r="F92" i="1"/>
  <c r="B69" i="1"/>
  <c r="B66" i="1"/>
  <c r="F106" i="1"/>
  <c r="B216" i="1"/>
  <c r="F295" i="1"/>
  <c r="B282" i="1"/>
  <c r="B105" i="1"/>
  <c r="B99" i="1"/>
  <c r="B200" i="1"/>
  <c r="F93" i="1"/>
  <c r="B199" i="1"/>
  <c r="B42" i="1"/>
  <c r="B97" i="1"/>
  <c r="F65" i="1"/>
  <c r="F214" i="1"/>
  <c r="B126" i="1"/>
  <c r="B189" i="1"/>
  <c r="F266" i="1"/>
  <c r="B103" i="1"/>
  <c r="F238" i="1"/>
  <c r="F212" i="1"/>
  <c r="F191" i="1"/>
  <c r="B63" i="1"/>
  <c r="B165" i="1"/>
  <c r="B301" i="1"/>
  <c r="F165" i="1"/>
  <c r="B40" i="1"/>
  <c r="F98" i="1"/>
  <c r="B197" i="1"/>
  <c r="F267" i="1"/>
  <c r="F301" i="1"/>
  <c r="F67" i="1"/>
  <c r="B320" i="1"/>
  <c r="B192" i="1"/>
  <c r="B59" i="1"/>
  <c r="B183" i="1"/>
  <c r="F321" i="1"/>
  <c r="F43" i="1"/>
  <c r="F302" i="1"/>
  <c r="B180" i="1"/>
  <c r="F64" i="1"/>
  <c r="B249" i="1"/>
  <c r="B25" i="1"/>
  <c r="B324" i="1"/>
  <c r="F197" i="1"/>
  <c r="B46" i="1"/>
  <c r="F181" i="1"/>
  <c r="F306" i="1"/>
  <c r="B95" i="1"/>
  <c r="F100" i="1"/>
  <c r="B131" i="1"/>
  <c r="F294" i="1"/>
  <c r="F128" i="1"/>
  <c r="F227" i="1"/>
  <c r="B80" i="1"/>
  <c r="F62" i="1"/>
  <c r="B181" i="1"/>
  <c r="B44" i="1"/>
  <c r="B153" i="1"/>
  <c r="B194" i="1"/>
  <c r="F190" i="1"/>
  <c r="B43" i="1"/>
  <c r="F147" i="1"/>
  <c r="B148" i="1"/>
  <c r="F298" i="1"/>
  <c r="F37" i="1"/>
  <c r="F182" i="1"/>
  <c r="F307" i="1"/>
  <c r="F111" i="1"/>
  <c r="F38" i="1"/>
  <c r="B38" i="1"/>
  <c r="B198" i="1"/>
  <c r="B114" i="1"/>
  <c r="B68" i="1"/>
  <c r="F199" i="1"/>
  <c r="B322" i="1"/>
  <c r="B36" i="1"/>
  <c r="B145" i="1"/>
  <c r="B186" i="1"/>
  <c r="F154" i="1"/>
  <c r="F299" i="1"/>
  <c r="F103" i="1"/>
  <c r="F130" i="1"/>
  <c r="F270" i="1"/>
  <c r="F319" i="1"/>
  <c r="F146" i="1"/>
  <c r="B281" i="1"/>
  <c r="B65" i="1"/>
  <c r="F193" i="1"/>
  <c r="F144" i="1"/>
  <c r="F127" i="1"/>
  <c r="F168" i="1"/>
  <c r="B128" i="1"/>
  <c r="F215" i="1"/>
  <c r="B41" i="1"/>
  <c r="B112" i="1"/>
  <c r="F262" i="1"/>
  <c r="B215" i="1"/>
  <c r="B93" i="1"/>
  <c r="F187" i="1"/>
  <c r="F304" i="1"/>
  <c r="B57" i="1"/>
  <c r="F296" i="1"/>
  <c r="B262" i="1"/>
  <c r="B109" i="1"/>
  <c r="B150" i="1"/>
  <c r="F94" i="1"/>
  <c r="B190" i="1"/>
  <c r="B191" i="1"/>
  <c r="B104" i="1"/>
  <c r="B213" i="1"/>
  <c r="B293" i="1"/>
  <c r="F102" i="1"/>
  <c r="B146" i="1"/>
  <c r="F81" i="1"/>
  <c r="F45" i="1"/>
  <c r="F108" i="1"/>
  <c r="B101" i="1"/>
  <c r="F132" i="1"/>
  <c r="F58" i="1"/>
  <c r="B154" i="1"/>
  <c r="F41" i="1"/>
  <c r="B96" i="1"/>
  <c r="F195" i="1"/>
  <c r="B265" i="1"/>
  <c r="F66" i="1"/>
  <c r="B110" i="1"/>
  <c r="B305" i="1"/>
  <c r="B297" i="1"/>
  <c r="B261" i="1"/>
  <c r="F268" i="1"/>
  <c r="B187" i="1"/>
  <c r="B307" i="1"/>
  <c r="F297" i="1"/>
  <c r="B147" i="1"/>
  <c r="F63" i="1"/>
  <c r="B106" i="1"/>
  <c r="B195" i="1"/>
  <c r="B94" i="1"/>
  <c r="B214" i="1"/>
  <c r="B60" i="1"/>
  <c r="B169" i="1"/>
  <c r="F200" i="1"/>
  <c r="B266" i="1"/>
  <c r="B306" i="1"/>
  <c r="F180" i="1"/>
  <c r="F183" i="1"/>
  <c r="F125" i="1"/>
  <c r="F260" i="1"/>
  <c r="F101" i="1"/>
  <c r="F320" i="1"/>
  <c r="B24" i="1"/>
  <c r="B143" i="1"/>
  <c r="F216" i="1"/>
  <c r="B64" i="1"/>
  <c r="F104" i="1"/>
  <c r="F196" i="1"/>
  <c r="F308" i="1"/>
  <c r="B127" i="1"/>
  <c r="F269" i="1"/>
  <c r="F129" i="1"/>
  <c r="F39" i="1"/>
  <c r="B98" i="1"/>
  <c r="B151" i="1"/>
  <c r="F40" i="1"/>
  <c r="F188" i="1"/>
  <c r="F42" i="1"/>
  <c r="F151" i="1"/>
  <c r="F192" i="1"/>
  <c r="F169" i="1"/>
  <c r="B319" i="1"/>
  <c r="B129" i="1"/>
  <c r="F80" i="1"/>
  <c r="B298" i="1"/>
  <c r="F143" i="1"/>
  <c r="F184" i="1"/>
  <c r="B263" i="1"/>
  <c r="F95" i="1"/>
  <c r="B295" i="1"/>
  <c r="F264" i="1"/>
  <c r="B321" i="1"/>
  <c r="B149" i="1"/>
  <c r="F261" i="1"/>
  <c r="B107" i="1"/>
  <c r="B212" i="1"/>
  <c r="F97" i="1"/>
  <c r="F213" i="1"/>
  <c r="B62" i="1"/>
  <c r="F57" i="1"/>
  <c r="B299" i="1"/>
  <c r="B302" i="1"/>
  <c r="B45" i="1"/>
  <c r="B125" i="1"/>
  <c r="B166" i="1"/>
  <c r="B67" i="1"/>
  <c r="B188" i="1"/>
  <c r="F25" i="1"/>
  <c r="F23" i="1"/>
  <c r="F60" i="1"/>
  <c r="F305" i="1"/>
  <c r="B81" i="1"/>
  <c r="F46" i="1"/>
  <c r="F24" i="1"/>
  <c r="B185" i="1"/>
  <c r="F59" i="1"/>
  <c r="F96" i="1"/>
  <c r="B270" i="1"/>
  <c r="F194" i="1"/>
  <c r="F61" i="1"/>
  <c r="F189" i="1"/>
  <c r="F44" i="1"/>
  <c r="F322" i="1"/>
  <c r="B196" i="1"/>
  <c r="B294" i="1"/>
  <c r="B211" i="1"/>
  <c r="F107" i="1"/>
  <c r="F148" i="1"/>
  <c r="B304" i="1"/>
  <c r="B144" i="1"/>
  <c r="F263" i="1"/>
  <c r="B111" i="1"/>
  <c r="B182" i="1"/>
  <c r="B308" i="1"/>
  <c r="B260" i="1"/>
  <c r="F153" i="1"/>
  <c r="F211" i="1"/>
  <c r="B269" i="1"/>
  <c r="B193" i="1"/>
  <c r="B61" i="1"/>
  <c r="F282" i="1"/>
  <c r="B267" i="1"/>
  <c r="F149" i="1"/>
  <c r="F186" i="1"/>
  <c r="B23" i="1"/>
  <c r="F109" i="1"/>
  <c r="F36" i="1"/>
  <c r="B296" i="1"/>
  <c r="B152" i="1"/>
  <c r="B323" i="1"/>
  <c r="F185" i="1"/>
  <c r="F99" i="1"/>
  <c r="B130" i="1"/>
  <c r="B268" i="1"/>
  <c r="B100" i="1"/>
  <c r="F323" i="1"/>
  <c r="F69" i="1"/>
  <c r="B108" i="1"/>
  <c r="F112" i="1"/>
  <c r="B102" i="1"/>
  <c r="B39" i="1"/>
  <c r="F145" i="1"/>
  <c r="B58" i="1"/>
  <c r="F167" i="1"/>
  <c r="B37" i="1"/>
  <c r="F152" i="1"/>
  <c r="B168" i="1"/>
  <c r="F150" i="1"/>
  <c r="B300" i="1"/>
  <c r="F115" i="1" l="1"/>
  <c r="F26" i="1"/>
  <c r="F283" i="1"/>
  <c r="F133" i="1"/>
  <c r="F201" i="1"/>
  <c r="F239" i="1"/>
  <c r="F217" i="1"/>
  <c r="F228" i="1"/>
  <c r="F325" i="1"/>
  <c r="F155" i="1"/>
  <c r="F250" i="1"/>
  <c r="F70" i="1"/>
  <c r="F309" i="1"/>
  <c r="F47" i="1"/>
  <c r="F82" i="1"/>
  <c r="F271" i="1"/>
  <c r="F170" i="1"/>
  <c r="B10" i="1" l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60EAB2F-EA2A-4431-8F89-AE844846D14C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4F340419-551C-4306-B7D1-E2C52A2BFB75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DCFF7F0E-4222-4973-9513-D0FE9286E78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309B7EE1-9770-4A85-B456-469C83CFC66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E698F139-4CFB-4FE5-ABBA-CE8DD3D59C6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7079D67C-76FD-4BF4-AA7E-D02FAE5C058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17A85AEC-59EE-4DAA-AEFD-5781526AFA6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D7EEF050-428A-42B4-A8CB-A2B2273B25F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A684CF3B-B510-46E0-867F-40D146DFA40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337ED1B2-EE42-4C00-AB31-3946C0C90F9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E68F7056-4259-4FC1-8B1E-7A6A463F0827}">
      <text/>
    </comment>
    <comment ref="C19" authorId="1" shapeId="0" xr:uid="{9202A029-5061-4E81-806A-F40FDF0A4083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6AC10371-8FD5-472D-AFBB-B530473A16DE}">
      <text/>
    </comment>
    <comment ref="F20" authorId="1" shapeId="0" xr:uid="{AF396D87-2574-488B-84D8-CFA671E5D81E}">
      <text/>
    </comment>
    <comment ref="A22" authorId="1" shapeId="0" xr:uid="{CEE50C67-883D-4886-AA48-D158197EF3B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E682F83D-2132-44E5-AE3E-6CC636E5426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2B597DD5-3594-4167-A719-F96F6FB93AC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84845DA-4C97-40FB-A4C6-93A2C36E12F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EDA6C05D-C04E-405D-B5A5-4EBA587F9C6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FE8334DC-7C3A-45CE-A0B6-D4273F3C4B6F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 xr:uid="{B7660A31-F0E3-4226-BF4B-7B38E96B9A3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 xr:uid="{31E87842-6BB0-4237-B5C5-6511DF54637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 xr:uid="{E141030A-0511-4F47-84A8-50F598FBEE6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 xr:uid="{AC4F8A45-7021-49A7-B88D-E5886DE9E7A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 xr:uid="{B81683F8-DDDE-42A7-8EBC-32EA8617D88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 xr:uid="{4D5ECB96-D635-4803-8535-B5AF4F8B488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 xr:uid="{39A69318-EE4A-4DA7-819B-0DEF2AC7D50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 xr:uid="{FDD42DFA-6BCC-4B99-8481-55CD377D482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 xr:uid="{1EA92F90-43BD-45B2-8C55-93EC94329C0E}">
      <text/>
    </comment>
    <comment ref="C32" authorId="1" shapeId="0" xr:uid="{1262D109-EDB4-4D9E-A589-9D2A1455AB85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 xr:uid="{6702EF7C-6A6E-4F6C-9124-9EE7709CD824}">
      <text/>
    </comment>
    <comment ref="F33" authorId="1" shapeId="0" xr:uid="{8834DAF3-16D7-43AC-A603-C8F954768B84}">
      <text/>
    </comment>
    <comment ref="A35" authorId="1" shapeId="0" xr:uid="{62F66DA1-5923-45D8-ABA9-01D4DF6D78C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 xr:uid="{01DBD59C-B16B-42B5-9D2C-5F2B83A77F3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 xr:uid="{50447605-24B4-43B8-9060-37837DCAC4F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 xr:uid="{6AF42F49-DEE1-42D0-8015-AE5B7E1B51B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 xr:uid="{86BDB718-A65C-4B68-BD72-CB82E020288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 xr:uid="{9F70D61D-0B27-44A9-8BAA-9348162A53D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" authorId="1" shapeId="0" xr:uid="{ABB3775D-40C9-43CD-B2A8-4FC3CA7F235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" authorId="1" shapeId="0" xr:uid="{B064DA39-7E8B-4F01-86F0-6CD55AFAF01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" authorId="1" shapeId="0" xr:uid="{0CC27623-D14B-4C58-88AC-B75F915B199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" authorId="1" shapeId="0" xr:uid="{2E8C9A38-ED01-4BB3-93C2-DBCE511570F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" authorId="1" shapeId="0" xr:uid="{7C446F1F-9239-4258-AB85-005A2FC7AFC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" authorId="1" shapeId="0" xr:uid="{1EB79165-7701-48C8-A22F-ACDE52980A4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" authorId="1" shapeId="0" xr:uid="{BD9F0E0B-D556-4F56-A747-C14EC33D62F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" authorId="1" shapeId="0" xr:uid="{BE0AA378-F644-4B67-830B-5EA65D9605F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" authorId="1" shapeId="0" xr:uid="{448432FB-E342-4C4A-8E55-5CB31EC20079}">
      <text/>
    </comment>
    <comment ref="C53" authorId="1" shapeId="0" xr:uid="{3791EDD9-0988-414F-9035-E4C3914CBE7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" authorId="1" shapeId="0" xr:uid="{4A7C4E61-F767-4CE1-ACFA-34E1BA4E6EAE}">
      <text/>
    </comment>
    <comment ref="F54" authorId="1" shapeId="0" xr:uid="{49E8CB33-9130-4166-B633-130F272D45C9}">
      <text/>
    </comment>
    <comment ref="A56" authorId="1" shapeId="0" xr:uid="{60A41D7A-C54E-4F2D-AB39-717698CF210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" authorId="1" shapeId="0" xr:uid="{094B55CA-8A6B-47EF-BBA9-6C25A2DD8CE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" authorId="1" shapeId="0" xr:uid="{4FD8048B-81DD-470F-A0BA-06F8C857524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" authorId="1" shapeId="0" xr:uid="{38EDD1EB-7EA6-4142-AB92-605F5462829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" authorId="1" shapeId="0" xr:uid="{EAA96A9E-3123-4EC7-8CFB-6081BD7C69F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" authorId="1" shapeId="0" xr:uid="{366C34C2-67EC-4137-B0E6-1F768EEBCE9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" authorId="1" shapeId="0" xr:uid="{0BD3D7B1-24F0-458C-BBA6-64C14EDEEA3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" authorId="1" shapeId="0" xr:uid="{A23228E8-9AC3-434F-98DA-ECED4D6715F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" authorId="1" shapeId="0" xr:uid="{F257290B-334E-41BF-A2F6-01C692BF719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" authorId="1" shapeId="0" xr:uid="{C29B583E-CAC1-416C-891F-7460046F4B2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" authorId="1" shapeId="0" xr:uid="{BD3F99B7-90F8-4EC4-B467-EF05152106C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" authorId="1" shapeId="0" xr:uid="{66AADAFF-3001-483B-8BB6-10600199E30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" authorId="1" shapeId="0" xr:uid="{42A3F1AC-29C2-4845-ADD5-4D17D935CA5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" authorId="1" shapeId="0" xr:uid="{14DC1C34-AB3D-43B8-A6B2-E47DE185CD8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 xr:uid="{D2E78BDD-F857-4DD8-8295-C51F8F2AFE5E}">
      <text/>
    </comment>
    <comment ref="C76" authorId="1" shapeId="0" xr:uid="{C25FF1CE-79E1-408C-AF1F-3B2A6F77992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" authorId="1" shapeId="0" xr:uid="{C25E9F78-77D6-4139-9D86-509F7C6BA130}">
      <text/>
    </comment>
    <comment ref="F77" authorId="1" shapeId="0" xr:uid="{ACE5ED88-E13C-44F0-9D75-47E117421BF6}">
      <text/>
    </comment>
    <comment ref="A79" authorId="1" shapeId="0" xr:uid="{911666A6-B68F-4510-A8E9-0B44F428E7A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" authorId="1" shapeId="0" xr:uid="{AF4D68DF-CBE3-4444-94DB-0D2DDCF9AD5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" authorId="1" shapeId="0" xr:uid="{514287B0-4296-4C04-9F53-EC81FF5EC4A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" authorId="1" shapeId="0" xr:uid="{E6B4526B-2A1B-492C-AF72-2E68379E080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 xr:uid="{9B702EDE-F5D6-4A43-A57F-649F251399C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" authorId="1" shapeId="0" xr:uid="{DE09416F-D04C-4344-A3EA-31ABD6529AB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" authorId="1" shapeId="0" xr:uid="{58A0F85F-590E-4ABD-85BA-4241F8952D4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" authorId="1" shapeId="0" xr:uid="{EAE1C643-6EF5-4E1D-B4C2-52F1B3528F4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" authorId="1" shapeId="0" xr:uid="{00195858-9237-4FA8-9001-469D081C7E6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" authorId="1" shapeId="0" xr:uid="{DD7968C0-DD39-4BDC-A529-EDCA9365D90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" authorId="1" shapeId="0" xr:uid="{3C4825D6-B8DB-4052-8481-3D63F8D2C62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" authorId="1" shapeId="0" xr:uid="{20093A47-4380-4069-AAF6-AE0BE08DA88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" authorId="1" shapeId="0" xr:uid="{C4987513-B9BA-4C17-930A-DBC51F248C1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" authorId="1" shapeId="0" xr:uid="{E27CDC16-D2DF-4CA3-9BB0-FE577BE9E59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 xr:uid="{A7D7D9D7-D3B8-4680-AD21-895033BFAB87}">
      <text/>
    </comment>
    <comment ref="C88" authorId="1" shapeId="0" xr:uid="{25558456-8650-4CA6-A14D-DFE028325D6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" authorId="1" shapeId="0" xr:uid="{A7C70E02-9320-4051-A560-685262572AE2}">
      <text/>
    </comment>
    <comment ref="F89" authorId="1" shapeId="0" xr:uid="{FBBBAE7E-F583-4C36-BCEF-8E11E74AEA39}">
      <text/>
    </comment>
    <comment ref="A91" authorId="1" shapeId="0" xr:uid="{3BE18931-42FF-43E5-B20D-0B99D2A3DA3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" authorId="1" shapeId="0" xr:uid="{4BF3D4C5-26ED-4BE4-A924-F906B35AF29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" authorId="1" shapeId="0" xr:uid="{EDB4F6A9-94FF-4DB2-8BEF-0D0A59CBCDA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" authorId="1" shapeId="0" xr:uid="{4BE3C0D1-FD57-4C6D-AA63-25AA29869E6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" authorId="1" shapeId="0" xr:uid="{2F8CDC07-9B5F-4427-86EA-9EC74E7F09D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" authorId="1" shapeId="0" xr:uid="{033EC33D-9A9A-460E-97C4-635EB74058C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" authorId="1" shapeId="0" xr:uid="{6C45A8F4-44C1-46F4-B26A-F0ED72C5087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" authorId="1" shapeId="0" xr:uid="{7184143A-B4C5-4D9E-B21B-D1D3042DFCB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" authorId="1" shapeId="0" xr:uid="{66C8EA6E-1AD3-409B-BF99-4CBF2F14A24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" authorId="1" shapeId="0" xr:uid="{C7D789FB-C571-42D5-AF95-6CC8FA3C04E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" authorId="1" shapeId="0" xr:uid="{D899C605-58F0-42BD-A879-E3CD3A9A692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" authorId="1" shapeId="0" xr:uid="{6B4E9956-ED3F-4D9F-A934-B743DB19845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" authorId="1" shapeId="0" xr:uid="{02B16224-0194-49E4-89B6-48DC841B8E6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" authorId="1" shapeId="0" xr:uid="{11113DAC-3244-48C1-8874-ACF555F3D16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 shapeId="0" xr:uid="{83BB1A3D-934A-4006-9802-54E963382691}">
      <text/>
    </comment>
    <comment ref="C121" authorId="1" shapeId="0" xr:uid="{517F7DA7-C9A9-4530-B5F1-000FBE90C69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" authorId="1" shapeId="0" xr:uid="{B5BDF480-3046-4C48-84E9-4C80BFD6D1BF}">
      <text/>
    </comment>
    <comment ref="F122" authorId="1" shapeId="0" xr:uid="{95E4B8F4-8E7C-427A-B945-ADFD6665B2B6}">
      <text/>
    </comment>
    <comment ref="A124" authorId="1" shapeId="0" xr:uid="{22DE1A63-C549-4575-8BC0-AC861804CB6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" authorId="1" shapeId="0" xr:uid="{469FD851-8510-44FD-8A1F-43E43010BD4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" authorId="1" shapeId="0" xr:uid="{C2CB7031-4560-4112-B0BA-14507FBAF29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" authorId="1" shapeId="0" xr:uid="{3B0DF0B7-5938-4914-9BB5-FF2F60F31E3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" authorId="1" shapeId="0" xr:uid="{708F283C-3C8A-4DCE-80EF-C2C95517E37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" authorId="1" shapeId="0" xr:uid="{1DF27124-C3FE-432C-B097-14EF47B8983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1" shapeId="0" xr:uid="{EC162BDC-4385-4D9A-A534-6179D6B68A3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1" shapeId="0" xr:uid="{E07690B4-855A-4D4A-8FD7-DE9BBF3249F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1" shapeId="0" xr:uid="{AABDDDF0-1706-4159-A055-1922DA5EE40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1" shapeId="0" xr:uid="{91699F03-23FF-4CBD-9A0A-F99DA8FE664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1" shapeId="0" xr:uid="{07A982D1-F265-4197-AC72-B6391FD09A8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1" shapeId="0" xr:uid="{1BC1CA8E-7474-4061-B081-D39B31A5296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1" shapeId="0" xr:uid="{12FBAF92-8709-42B5-8AA9-20F9BD3C88D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1" shapeId="0" xr:uid="{3C272663-F5BE-4337-B668-70236B896E7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1" shapeId="0" xr:uid="{6F4B9933-4F4C-4564-AD06-29AB3ECD34DA}">
      <text/>
    </comment>
    <comment ref="C139" authorId="1" shapeId="0" xr:uid="{076A22A2-6821-48D0-813F-63E8C3F7A77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1" shapeId="0" xr:uid="{A160FAD7-7A55-431F-B8DA-DC4EB9D3B1BF}">
      <text/>
    </comment>
    <comment ref="F140" authorId="1" shapeId="0" xr:uid="{2FFD7238-A10C-4236-B087-A28BB94DE70C}">
      <text/>
    </comment>
    <comment ref="A142" authorId="1" shapeId="0" xr:uid="{7035D884-220B-4F59-B363-EE3B06A1E7F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1" shapeId="0" xr:uid="{9D0083C5-C33B-4061-981B-947B4414EAC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1" shapeId="0" xr:uid="{0BA1680D-AEC3-4E5D-8718-603FE70F404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1" shapeId="0" xr:uid="{C05FE204-081B-45BD-98DF-5EBEC776258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1" shapeId="0" xr:uid="{A90DA847-9749-4648-BEDC-7119AF58C55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1" shapeId="0" xr:uid="{156ACA3C-C422-4CF2-960D-A384C4507F6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 xr:uid="{6A992421-3925-4305-A8A8-012477A7B26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 xr:uid="{83BB2B12-D1DB-4ED7-9C01-CD6D9D3E5E0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 xr:uid="{71AB3087-73DE-4D65-A04A-5D50CD5690B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 xr:uid="{04CBB7B1-076A-471B-BCBD-1DA3D3708EF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 xr:uid="{F80A5065-4040-490E-9AA7-A5838A459E5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 xr:uid="{5F332B29-BE08-4A3C-8DDF-6C6718908AC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 xr:uid="{6F695889-C973-40AE-B277-A7E2865ECD8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 xr:uid="{BF39FFC6-7D18-488A-8339-7F5D32AAE8B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 xr:uid="{C65C0868-7607-4CF8-BD66-52E50A351AB7}">
      <text/>
    </comment>
    <comment ref="C161" authorId="1" shapeId="0" xr:uid="{F41B8691-D70F-4C5F-BBB2-A6BB5EFF52F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 xr:uid="{ACDF0F84-4222-45E8-BCEF-FAE90A5C3A88}">
      <text/>
    </comment>
    <comment ref="F162" authorId="1" shapeId="0" xr:uid="{5184E767-0219-4DA8-B373-4156F4FF5EDC}">
      <text/>
    </comment>
    <comment ref="A164" authorId="1" shapeId="0" xr:uid="{4604B689-1C40-4C31-9523-6B64A05082B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 xr:uid="{6AA73480-C581-4635-A848-00C335CBA2FA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 xr:uid="{DFBC7322-7FD8-440D-9550-C1845775FEA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 xr:uid="{BE53EC87-2BD9-447C-849A-2B8F2EED2FD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 xr:uid="{5A90F6D8-A71E-4092-B649-AD36DBA23E3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 xr:uid="{F83FD0E4-80FC-4B19-A4AB-A31E1DA5F96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" authorId="1" shapeId="0" xr:uid="{8EADF5E1-669E-4254-96FE-FB8356C8E9B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" authorId="1" shapeId="0" xr:uid="{CA606495-4190-4BA3-A8CE-CBD577B6932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" authorId="1" shapeId="0" xr:uid="{5E4CA772-10DE-4B5F-B1D3-3FF2C35FB50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" authorId="1" shapeId="0" xr:uid="{ECDB1E79-E8DB-4E54-BF83-8BF198E965F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" authorId="1" shapeId="0" xr:uid="{3BC602AC-386B-4422-91B6-A30737CA269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" authorId="1" shapeId="0" xr:uid="{AEA2C098-6073-47E6-8096-E9111D2ED7A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" authorId="1" shapeId="0" xr:uid="{017347AF-5FC4-45D7-895C-A3A6087F04F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" authorId="1" shapeId="0" xr:uid="{AE8C5371-43FC-4F5A-AE28-81BDEDBE401A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" authorId="1" shapeId="0" xr:uid="{4779D9A0-D121-4555-A81B-9C4159480831}">
      <text/>
    </comment>
    <comment ref="C176" authorId="1" shapeId="0" xr:uid="{2D8DC1BF-AA3B-412B-B238-E321CF0D3F7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" authorId="1" shapeId="0" xr:uid="{FF0220C3-0EE8-462C-8392-A28C035E0FA8}">
      <text/>
    </comment>
    <comment ref="F177" authorId="1" shapeId="0" xr:uid="{14E6BA6A-C718-4BA6-91E3-A3E9366E1463}">
      <text/>
    </comment>
    <comment ref="A179" authorId="1" shapeId="0" xr:uid="{AB74D076-EB6A-4FEE-B4B9-D3D7130CA77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" authorId="1" shapeId="0" xr:uid="{EF45E4DA-9BC3-4EE3-81ED-118B88EA22D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" authorId="1" shapeId="0" xr:uid="{A06B289A-A3A9-4B17-BC45-86D29836F44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" authorId="1" shapeId="0" xr:uid="{E479C31E-FE86-42F4-A069-B0ADFE7AE68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" authorId="1" shapeId="0" xr:uid="{0B78F660-F34F-4A2E-AA3D-9B06937416E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" authorId="1" shapeId="0" xr:uid="{967EC7D6-3D9D-4CE9-820C-5D96164A39B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 shapeId="0" xr:uid="{D111523D-211F-4C67-8FC9-6DDCC13E58DA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 shapeId="0" xr:uid="{62639418-E311-41D6-9F17-BDE051094C9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 shapeId="0" xr:uid="{B2BD1AB6-5E5C-4A8C-9B20-D43E2916E6F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 shapeId="0" xr:uid="{9BC7393C-93AA-4A9F-8039-637A4628E34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 shapeId="0" xr:uid="{8FB86957-DDA9-4F90-9E7B-9F258554767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 shapeId="0" xr:uid="{5AE58906-4671-417E-BCA7-5C322AF8618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 shapeId="0" xr:uid="{C6F4E22C-AB86-4A34-B740-728172F72B25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 shapeId="0" xr:uid="{22C7582C-BC4E-40D4-9516-C9B5F36264B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 xr:uid="{AAEB9CFA-317D-4FD5-B893-812E409416FF}">
      <text/>
    </comment>
    <comment ref="C207" authorId="1" shapeId="0" xr:uid="{6A7158EF-6B37-44EF-9D2C-D9F1CCAF61F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 shapeId="0" xr:uid="{C4FFC4CC-3F5A-487B-ABA0-1F336AF6785B}">
      <text/>
    </comment>
    <comment ref="F208" authorId="1" shapeId="0" xr:uid="{3F92EBDC-8DA0-4CCD-901A-D9A3361B8346}">
      <text/>
    </comment>
    <comment ref="A210" authorId="1" shapeId="0" xr:uid="{4560394B-A673-4D75-81AB-79D85A95E0C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 shapeId="0" xr:uid="{CEB37A53-6645-4C91-8916-B573FC88317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 shapeId="0" xr:uid="{A3D9D262-5831-4807-A32D-A8A8E7AF012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 shapeId="0" xr:uid="{D0C1B0A8-9777-41B3-9246-F0049E0D8F4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 shapeId="0" xr:uid="{0D89836C-F92E-43BF-97B8-7386A9D286D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 shapeId="0" xr:uid="{6713C7A6-9C53-42E6-BA79-7DDD685BCFF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 xr:uid="{A4DA1601-F6F8-4189-BF09-03169000C3FE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 xr:uid="{694D5FA9-8FAD-41F3-BB76-3DF32F5DEA6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 xr:uid="{D4EA7131-CCAA-4371-AB82-030752789A5B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 xr:uid="{1863E8C8-9383-41D4-B9F8-903432BCDEB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 xr:uid="{5A6F591A-87A2-4713-9F2B-44179319B81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 xr:uid="{EE57B97D-7E3E-47C5-B673-19FCE15DF7B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 xr:uid="{1BA6B464-5212-4431-B168-94EA4597A9B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 xr:uid="{736C2F64-1AEB-449C-8178-7706F9F1988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 xr:uid="{632E4830-F450-48A0-9D24-EA854A2FABFE}">
      <text/>
    </comment>
    <comment ref="C223" authorId="1" shapeId="0" xr:uid="{8149EF7C-F23B-45D8-B121-6C64C5C3A39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 xr:uid="{5DE5A0AF-0010-4945-B4EC-E3A9F37187EE}">
      <text/>
    </comment>
    <comment ref="F224" authorId="1" shapeId="0" xr:uid="{3623CB09-DDB7-4CA0-A963-E8E22F5585FC}">
      <text/>
    </comment>
    <comment ref="A226" authorId="1" shapeId="0" xr:uid="{350C4AE0-05E4-437D-9E2B-F0CE9AA2FCC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 xr:uid="{A9A5116B-C5EB-40F9-8225-B82B24E1BE6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 xr:uid="{5FA2020C-F8FF-4C18-ACA4-E0C2EBCA611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 xr:uid="{57F8F8A8-EC8B-4FD3-8333-A5424F910BB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 xr:uid="{3459B841-F1C1-474C-ADFE-8001872B0B8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 xr:uid="{B20DF32B-BD3C-4BA2-B6E9-A7E2128F645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" authorId="1" shapeId="0" xr:uid="{63AD6C7F-5D30-4C66-A90D-7B978D59A9C3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" authorId="1" shapeId="0" xr:uid="{FDEB69DB-40B2-48CE-B34D-48B4C6759BD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" authorId="1" shapeId="0" xr:uid="{650A35DD-D368-409F-95CA-906FCBC42FC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" authorId="1" shapeId="0" xr:uid="{5A59815A-A97A-4891-9543-B78C4FF4E5D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" authorId="1" shapeId="0" xr:uid="{09054904-CE3E-4B03-9557-A7BEF822ADE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" authorId="1" shapeId="0" xr:uid="{9C1BF2CC-C384-46AC-A7D8-13CA8DE6F20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" authorId="1" shapeId="0" xr:uid="{DBDD6AFE-5BFB-4EBC-BA2E-BF96FAD11A6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" authorId="1" shapeId="0" xr:uid="{0048533D-D349-479C-B97F-67A04916B90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1" shapeId="0" xr:uid="{07157731-657D-479A-897B-3773478EDAF1}">
      <text/>
    </comment>
    <comment ref="C234" authorId="1" shapeId="0" xr:uid="{39B05C53-18CF-4D43-BA9D-DDA0FB2EC5D3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" authorId="1" shapeId="0" xr:uid="{4D9C3CDC-E337-481E-B57D-C4BA28EFCCEB}">
      <text/>
    </comment>
    <comment ref="F235" authorId="1" shapeId="0" xr:uid="{C57DB6CF-5E15-4577-A1AD-304C291213EB}">
      <text/>
    </comment>
    <comment ref="A237" authorId="1" shapeId="0" xr:uid="{2C2ECF3E-AA82-45E6-86EC-9703E2E7BD3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" authorId="1" shapeId="0" xr:uid="{A78B4C39-1F6A-4451-9890-7884A38F994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" authorId="1" shapeId="0" xr:uid="{71FF0B83-0C1A-484A-9B17-C8C71A58B10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" authorId="1" shapeId="0" xr:uid="{18795AB8-9C83-46FA-B03A-24E02E9173A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" authorId="1" shapeId="0" xr:uid="{54AA4CDE-6328-41E6-BE3E-FEB5A6B3FCB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" authorId="1" shapeId="0" xr:uid="{782579F7-D277-4174-9ECF-B0923369874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" authorId="1" shapeId="0" xr:uid="{B64AF427-0F38-48A5-A0AA-9DA31D83EB8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" authorId="1" shapeId="0" xr:uid="{E34E87D5-138B-4DA2-B644-935881EA182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" authorId="1" shapeId="0" xr:uid="{5C0B6F0E-2D43-495A-81BD-31B5004BAFC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" authorId="1" shapeId="0" xr:uid="{ED5CAF1C-4363-4504-9ECB-4319E36D959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" authorId="1" shapeId="0" xr:uid="{0D147DAE-87E1-4CE7-9626-58C02513188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" authorId="1" shapeId="0" xr:uid="{E84F4413-0D32-4B22-92C8-FAE4167E1F4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" authorId="1" shapeId="0" xr:uid="{050A8671-E792-402D-B2E0-C83FFD5362B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" authorId="1" shapeId="0" xr:uid="{D73C45DF-C654-420D-B81F-F570BFDBBD8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 xr:uid="{4E6CF77D-279B-4626-BB4A-AAA467214F75}">
      <text/>
    </comment>
    <comment ref="C245" authorId="1" shapeId="0" xr:uid="{5D47BD76-58F8-4146-ADA1-7A110C325B6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" authorId="1" shapeId="0" xr:uid="{DC132879-EED8-4CD0-AB40-9C41BB5661AA}">
      <text/>
    </comment>
    <comment ref="F246" authorId="1" shapeId="0" xr:uid="{59660794-448C-4491-88D5-A7EF609754FC}">
      <text/>
    </comment>
    <comment ref="A248" authorId="1" shapeId="0" xr:uid="{23E3F9CB-500D-463D-ACA7-3BCC2A17A22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" authorId="1" shapeId="0" xr:uid="{831E4FBD-9115-4E0F-9514-D9B5D173797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" authorId="1" shapeId="0" xr:uid="{32DA51D9-8CA5-431F-8D72-FC5792F7121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" authorId="1" shapeId="0" xr:uid="{3A89E6B9-5D32-4C1B-82A1-D11C01010F0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" authorId="1" shapeId="0" xr:uid="{2DA8EC25-59B2-4271-AF67-25F5498621D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" authorId="1" shapeId="0" xr:uid="{8875FBD6-7056-4A31-B1EC-5D10E7F44D8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 shapeId="0" xr:uid="{34BBE4E0-A9CE-47B4-B721-C542EB5E0EB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 shapeId="0" xr:uid="{5692A548-82CC-4C37-B6C3-488DD8D895C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 shapeId="0" xr:uid="{7016427D-562B-4E54-B821-849963F9A26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 shapeId="0" xr:uid="{62C5EBED-EB65-4EFC-A2D8-3EC0918BB0E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 shapeId="0" xr:uid="{C4057B81-0519-4773-90F0-F33ED5BEF3E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 shapeId="0" xr:uid="{E4F183C1-9D01-436C-AE62-BF3C3630A76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 shapeId="0" xr:uid="{6FAA59AA-8110-4ACF-8804-2D7CD9D4DD0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 shapeId="0" xr:uid="{57C1B248-ACA4-4F29-A256-BD097B6A4BB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 shapeId="0" xr:uid="{85066EB0-12AF-4D0C-B582-6DA60286CF74}">
      <text/>
    </comment>
    <comment ref="C256" authorId="1" shapeId="0" xr:uid="{D6F0177A-AD65-4859-A773-5773214353E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 shapeId="0" xr:uid="{999D30D3-9810-44F6-92D0-1359E0537CB9}">
      <text/>
    </comment>
    <comment ref="F257" authorId="1" shapeId="0" xr:uid="{90FA7CF9-E1F9-4619-B93C-B70EBDD1D226}">
      <text/>
    </comment>
    <comment ref="A259" authorId="1" shapeId="0" xr:uid="{2BB71DA0-6F47-4BD6-9490-CCD6D241607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 shapeId="0" xr:uid="{FC43A5CF-D7DD-4715-A6E4-8B42A5D0404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 shapeId="0" xr:uid="{8CC86050-4237-4D6C-81E6-483A606A232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 shapeId="0" xr:uid="{3B6D8049-E84C-49C4-B4F7-189B9AA941D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 shapeId="0" xr:uid="{5B5F9815-14FF-4CDA-8CD7-A4A7BA96369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 shapeId="0" xr:uid="{3EEF8F92-7ED2-47E4-8F25-F805C6E9262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" authorId="1" shapeId="0" xr:uid="{18039945-FDED-4B35-B37E-6B368FE9288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" authorId="1" shapeId="0" xr:uid="{8D8A312D-50C9-46A8-B7EB-2DAD15160CD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" authorId="1" shapeId="0" xr:uid="{E0652DAA-A2B8-488C-8489-593665AD187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" authorId="1" shapeId="0" xr:uid="{112490C8-FB4D-4705-90D9-88383EC79C1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" authorId="1" shapeId="0" xr:uid="{5265BF69-AC56-4505-9396-797FBE93AC5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" authorId="1" shapeId="0" xr:uid="{05BAABFC-0C69-4281-B686-084044CB851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" authorId="1" shapeId="0" xr:uid="{788E083F-B4FE-4230-8DF6-2CE2F29A48C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" authorId="1" shapeId="0" xr:uid="{C8F1E5E7-E287-4E66-AC36-724FBA2FE15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" authorId="1" shapeId="0" xr:uid="{997F3400-195C-4C7E-95D8-1253465B6048}">
      <text/>
    </comment>
    <comment ref="C277" authorId="1" shapeId="0" xr:uid="{BC9B2815-FAFD-478C-A072-B91DC042553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" authorId="1" shapeId="0" xr:uid="{298CF3C9-99FD-4DDE-8C15-A29ECC3D6E7F}">
      <text/>
    </comment>
    <comment ref="F278" authorId="1" shapeId="0" xr:uid="{D0BA3E6B-0395-4E13-9D70-98B5767EED5F}">
      <text/>
    </comment>
    <comment ref="A280" authorId="1" shapeId="0" xr:uid="{563873A3-731B-42BA-BE8C-A8504C2227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" authorId="1" shapeId="0" xr:uid="{9E4C5920-050A-46B0-A114-F69D4A4664B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" authorId="1" shapeId="0" xr:uid="{EEF2CD8D-638E-4269-9526-35D71C31840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" authorId="1" shapeId="0" xr:uid="{2C0C17B7-0BE1-42AC-A3D4-5BE055F07D3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" authorId="1" shapeId="0" xr:uid="{1554ABE6-EBD9-4F7A-B29D-330A99E38A2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" authorId="1" shapeId="0" xr:uid="{66A34FC2-62C5-4BD4-922A-7939CF99A75D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6" authorId="1" shapeId="0" xr:uid="{E6123023-D5F9-44D7-A72C-A2DD1947EF0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6" authorId="1" shapeId="0" xr:uid="{D2B30BB8-2486-4F7E-A499-0F1E83E47C42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6" authorId="1" shapeId="0" xr:uid="{3D794E51-36FD-4C1D-90B4-C7CCE678BE1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6" authorId="1" shapeId="0" xr:uid="{894D069C-940C-418A-974B-9D0B545CD48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6" authorId="1" shapeId="0" xr:uid="{99326CA8-CCE0-4F6D-9595-1ACF57FD02F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6" authorId="1" shapeId="0" xr:uid="{77CF3FE9-D730-454C-98BD-DBFEC7CA6E6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7" authorId="1" shapeId="0" xr:uid="{B382C6FD-0D61-41DB-BA1B-4C89942EE70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7" authorId="1" shapeId="0" xr:uid="{F09A1DE5-4D67-4594-8944-5C3BF74C0A3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" authorId="1" shapeId="0" xr:uid="{A04320A8-D39E-403E-BD10-7A4CD7DFE34D}">
      <text/>
    </comment>
    <comment ref="C289" authorId="1" shapeId="0" xr:uid="{BB2D16A4-FB39-4A0E-86D1-8B1BC233C77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" authorId="1" shapeId="0" xr:uid="{F95FDDCE-5C70-4D37-9678-0A95F5C1832B}">
      <text/>
    </comment>
    <comment ref="F290" authorId="1" shapeId="0" xr:uid="{3247B6FB-72BD-4C57-A257-0BB525ADEC3A}">
      <text/>
    </comment>
    <comment ref="A292" authorId="1" shapeId="0" xr:uid="{15784A09-EE79-4B3F-BC44-7C109B205D6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2" authorId="1" shapeId="0" xr:uid="{4463E2DD-5066-4D39-B314-82DA64B27EF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2" authorId="1" shapeId="0" xr:uid="{AA9728A7-1862-4CAE-8D92-35B98BC984E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2" authorId="1" shapeId="0" xr:uid="{85E20C4B-C43F-4CA9-AB0D-59F6CBC2FE1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2" authorId="1" shapeId="0" xr:uid="{AA7D5908-3C74-4FF6-8EC5-8C789C85B3F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2" authorId="1" shapeId="0" xr:uid="{C9DC9905-2B74-4ABB-B954-02DAB12C06B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1" shapeId="0" xr:uid="{59D44CB4-9DD2-475C-AEF5-195EB1A5E81E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1" shapeId="0" xr:uid="{E7850034-7300-4C92-A660-BEFB471CCDE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1" shapeId="0" xr:uid="{93B76831-70CC-432A-A766-BA31331AD68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1" shapeId="0" xr:uid="{DE677053-3F15-4799-9266-70DA0D6E82E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1" shapeId="0" xr:uid="{6175B2CA-E97D-42E8-80CF-EF699D717D5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1" shapeId="0" xr:uid="{EFCB1441-EDBA-4A23-8EDD-59542758A0E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1" shapeId="0" xr:uid="{E8ABB603-8289-4C54-8140-4766ABAB23C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1" shapeId="0" xr:uid="{928FD295-614B-4408-90B2-88505F985C5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1" shapeId="0" xr:uid="{5DE32525-2DEF-426E-87D7-B5E230A58A07}">
      <text/>
    </comment>
    <comment ref="C315" authorId="1" shapeId="0" xr:uid="{A1220AA6-7F94-4382-B73B-81B2081E5BD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1" shapeId="0" xr:uid="{001F8681-064D-4333-BFD5-11E1A1C2BF6A}">
      <text/>
    </comment>
    <comment ref="F316" authorId="1" shapeId="0" xr:uid="{B2024148-F3D6-43B0-A4DF-5D7C7FA5003A}">
      <text/>
    </comment>
    <comment ref="A318" authorId="1" shapeId="0" xr:uid="{903B8D85-5D8D-4A73-B5E9-41C3B6678FDB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1" shapeId="0" xr:uid="{74498231-4DE3-466C-96CC-6F062A1B71DA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1" shapeId="0" xr:uid="{38E6223A-2FE1-4A49-8EB0-D01B51DBC60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1" shapeId="0" xr:uid="{E327F179-F4C0-4EE6-B697-7B20B25E7B4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1" shapeId="0" xr:uid="{3FBA3C83-35C1-42A9-8A5C-443611FEA8E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1" shapeId="0" xr:uid="{CC0BFF1C-8D63-4D26-A51E-83789FE3D45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<sst xmlns="http://schemas.openxmlformats.org/spreadsheetml/2006/main" count="702" uniqueCount="209">
  <si>
    <t xml:space="preserve">PLAN ANUAL DE COMPRAS Y CONTRATACIONES 
</t>
  </si>
  <si>
    <t>SNCC.F.069</t>
  </si>
  <si>
    <t xml:space="preserve">Capítulo </t>
  </si>
  <si>
    <t>0212</t>
  </si>
  <si>
    <t>Version: 1.0.0</t>
  </si>
  <si>
    <t>Sub Capítulo</t>
  </si>
  <si>
    <t>01</t>
  </si>
  <si>
    <t>Unidad Ejecutora</t>
  </si>
  <si>
    <t>0003</t>
  </si>
  <si>
    <t>Cantidad Procesos Registrados</t>
  </si>
  <si>
    <t xml:space="preserve">Unidad de Compra </t>
  </si>
  <si>
    <t>Cuerpo Especializado de Control de Combustibles</t>
  </si>
  <si>
    <t>Monto Estimado Total</t>
  </si>
  <si>
    <t>Código de la Unidad de Compra</t>
  </si>
  <si>
    <t>000882</t>
  </si>
  <si>
    <t xml:space="preserve">Año Fiscal 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</si>
  <si>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</si>
  <si>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</si>
  <si>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</si>
  <si>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</si>
  <si>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</si>
  <si>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</si>
  <si>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</si>
  <si>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</si>
  <si>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GASOLINA Y COMBUSTIBLE DIESE</t>
  </si>
  <si>
    <t>PARA EL FUNCIONAMIENTO DEL CECCOM Y SUS DEPENDENCIAS</t>
  </si>
  <si>
    <t>Bienes</t>
  </si>
  <si>
    <t>Licitacion Publica</t>
  </si>
  <si>
    <t>No</t>
  </si>
  <si>
    <t>FECHA DE NECESSIDAD</t>
  </si>
  <si>
    <t>FECHA INICIO PROCESO DE COMPRA</t>
  </si>
  <si>
    <t>LUGAR DE EJECUCIÓN / ENTREGA</t>
  </si>
  <si>
    <t>Región</t>
  </si>
  <si>
    <t>VALDESIA</t>
  </si>
  <si>
    <t>TRIMESTRE</t>
  </si>
  <si>
    <t>Provincia</t>
  </si>
  <si>
    <t>San Cristóbal</t>
  </si>
  <si>
    <t>FECHA PREVISTA ADJUDICACIÓN</t>
  </si>
  <si>
    <t>Municipio</t>
  </si>
  <si>
    <t>Bajos de Haina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</si>
  <si>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</si>
  <si>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</si>
  <si>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</si>
  <si>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</si>
  <si>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</si>
  <si>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</si>
  <si>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</si>
  <si>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15101505</t>
  </si>
  <si>
    <t>15121501</t>
  </si>
  <si>
    <t>TOTAL COMPRA ESTIMADA</t>
  </si>
  <si>
    <t>FERRETERO Y PINTURA</t>
  </si>
  <si>
    <t>PARA MANTENIMEINTO DE LA INFFRAESTRUCTURA</t>
  </si>
  <si>
    <t>Compras Menores</t>
  </si>
  <si>
    <t>31211501</t>
  </si>
  <si>
    <t>31211502</t>
  </si>
  <si>
    <t>31211505</t>
  </si>
  <si>
    <t>31211508</t>
  </si>
  <si>
    <t>31211512</t>
  </si>
  <si>
    <t>31211603</t>
  </si>
  <si>
    <t>13102030</t>
  </si>
  <si>
    <t>15121804</t>
  </si>
  <si>
    <t>15121901</t>
  </si>
  <si>
    <t>24121802</t>
  </si>
  <si>
    <t>31211703</t>
  </si>
  <si>
    <t>MATERIALES DE LIMPIEZA</t>
  </si>
  <si>
    <t>PARA USO DEL CECCOM</t>
  </si>
  <si>
    <t>Sí</t>
  </si>
  <si>
    <t>53131608</t>
  </si>
  <si>
    <t>47131604</t>
  </si>
  <si>
    <t>47131605</t>
  </si>
  <si>
    <t>47131611</t>
  </si>
  <si>
    <t>47131803</t>
  </si>
  <si>
    <t>12161902</t>
  </si>
  <si>
    <t>12141901</t>
  </si>
  <si>
    <t>24111503</t>
  </si>
  <si>
    <t>47131502</t>
  </si>
  <si>
    <t>46181504</t>
  </si>
  <si>
    <t>47131706</t>
  </si>
  <si>
    <t>42312310</t>
  </si>
  <si>
    <t>47131801</t>
  </si>
  <si>
    <t>SERVICIOS DE ALIMENTOS</t>
  </si>
  <si>
    <t>PARA ACTIVIDADES DEL CECCOM</t>
  </si>
  <si>
    <t>Servicios</t>
  </si>
  <si>
    <t>93131608</t>
  </si>
  <si>
    <t>90101802</t>
  </si>
  <si>
    <t>ADQUISICIÓN DE MATERIALES GASTABLES</t>
  </si>
  <si>
    <t>PARA SER UTILIZADOS EN ESTAS INSTITUCIÓN Y SUS DEPENDIENCIAS</t>
  </si>
  <si>
    <t>27112120</t>
  </si>
  <si>
    <t>11101506</t>
  </si>
  <si>
    <t>12171703</t>
  </si>
  <si>
    <t>43232503</t>
  </si>
  <si>
    <t>44121706</t>
  </si>
  <si>
    <t>44121701</t>
  </si>
  <si>
    <t>44121716</t>
  </si>
  <si>
    <t>44122010</t>
  </si>
  <si>
    <t>44122011</t>
  </si>
  <si>
    <t>44122016</t>
  </si>
  <si>
    <t>44122104</t>
  </si>
  <si>
    <t>44121615</t>
  </si>
  <si>
    <t>44121605</t>
  </si>
  <si>
    <t>44121613</t>
  </si>
  <si>
    <t>44111611</t>
  </si>
  <si>
    <t>44121708</t>
  </si>
  <si>
    <t>14111515</t>
  </si>
  <si>
    <t>14111504</t>
  </si>
  <si>
    <t>14111511</t>
  </si>
  <si>
    <t>44121618</t>
  </si>
  <si>
    <t>60101903</t>
  </si>
  <si>
    <t>44103103</t>
  </si>
  <si>
    <t>44121503</t>
  </si>
  <si>
    <t>ARTICULOS INFORMATICOS</t>
  </si>
  <si>
    <t>43211507</t>
  </si>
  <si>
    <t>43211508</t>
  </si>
  <si>
    <t>43211603</t>
  </si>
  <si>
    <t>43211706</t>
  </si>
  <si>
    <t>32101602</t>
  </si>
  <si>
    <t>43211708</t>
  </si>
  <si>
    <t>27113203</t>
  </si>
  <si>
    <t>43201803</t>
  </si>
  <si>
    <t>MOBILIARIO Y EQUIPOS DE OFICINA</t>
  </si>
  <si>
    <t>56101703</t>
  </si>
  <si>
    <t>56121805</t>
  </si>
  <si>
    <t>56112103</t>
  </si>
  <si>
    <t>56112104</t>
  </si>
  <si>
    <t>56112106</t>
  </si>
  <si>
    <t>56101519</t>
  </si>
  <si>
    <t>56101522</t>
  </si>
  <si>
    <t>56101532</t>
  </si>
  <si>
    <t>44101603</t>
  </si>
  <si>
    <t>44101602</t>
  </si>
  <si>
    <t>44101802</t>
  </si>
  <si>
    <t>39121311</t>
  </si>
  <si>
    <t>SERVICIOS DE IMPRESIÓN Y ENCUADERNACION</t>
  </si>
  <si>
    <t>PARA LOS PROGRAMS DEL CECCOM</t>
  </si>
  <si>
    <t>82121505</t>
  </si>
  <si>
    <t>82121511</t>
  </si>
  <si>
    <t>82121903</t>
  </si>
  <si>
    <t>82121701</t>
  </si>
  <si>
    <t>14111604</t>
  </si>
  <si>
    <t>MATERIALES ELECTRICOS</t>
  </si>
  <si>
    <t>60104912</t>
  </si>
  <si>
    <t>39111810</t>
  </si>
  <si>
    <t>39111808</t>
  </si>
  <si>
    <t>39121205</t>
  </si>
  <si>
    <t>39121303</t>
  </si>
  <si>
    <t>39121402</t>
  </si>
  <si>
    <t>39121549</t>
  </si>
  <si>
    <t>39121601</t>
  </si>
  <si>
    <t>39121615</t>
  </si>
  <si>
    <t>32141016</t>
  </si>
  <si>
    <t>23171536</t>
  </si>
  <si>
    <t>31241607</t>
  </si>
  <si>
    <t>31241608</t>
  </si>
  <si>
    <t>40161505</t>
  </si>
  <si>
    <t>31162304</t>
  </si>
  <si>
    <t>23171508</t>
  </si>
  <si>
    <t>23171511</t>
  </si>
  <si>
    <t>31162414</t>
  </si>
  <si>
    <t>32121705</t>
  </si>
  <si>
    <t>26111701</t>
  </si>
  <si>
    <t>39101605</t>
  </si>
  <si>
    <t>EQUIPOS DE SEGURIDAD</t>
  </si>
  <si>
    <t>46171610</t>
  </si>
  <si>
    <t>46191601</t>
  </si>
  <si>
    <t>46191505</t>
  </si>
  <si>
    <t>46181604</t>
  </si>
  <si>
    <t>46181704</t>
  </si>
  <si>
    <t>46181507</t>
  </si>
  <si>
    <t>SERVICIO DE FUMIGACION</t>
  </si>
  <si>
    <t>PARA EL CECCOM</t>
  </si>
  <si>
    <t>72102103</t>
  </si>
  <si>
    <t>DESMONTE E INSTALACION</t>
  </si>
  <si>
    <t>DEL CECCOM</t>
  </si>
  <si>
    <t>46101601</t>
  </si>
  <si>
    <t>TEXTILES E INDUMENTARIA</t>
  </si>
  <si>
    <t>Comparacion de Precios</t>
  </si>
  <si>
    <t>53111501</t>
  </si>
  <si>
    <t>53103101</t>
  </si>
  <si>
    <t>53102516</t>
  </si>
  <si>
    <t>53102401</t>
  </si>
  <si>
    <t>53103001</t>
  </si>
  <si>
    <t>55121715</t>
  </si>
  <si>
    <t>31151903</t>
  </si>
  <si>
    <t>53102710</t>
  </si>
  <si>
    <t>LLANTAS Y BATERIAS</t>
  </si>
  <si>
    <t>26111703</t>
  </si>
  <si>
    <t>25172504</t>
  </si>
  <si>
    <t>ADQUISICION DE ELECTRODOMESTICOS</t>
  </si>
  <si>
    <t>52141533</t>
  </si>
  <si>
    <t>52141522</t>
  </si>
  <si>
    <t>52141524</t>
  </si>
  <si>
    <t>52141526</t>
  </si>
  <si>
    <t>52141538</t>
  </si>
  <si>
    <t>52141601</t>
  </si>
  <si>
    <t>52161505</t>
  </si>
  <si>
    <t>52161507</t>
  </si>
  <si>
    <t>52152015</t>
  </si>
  <si>
    <t>52152101</t>
  </si>
  <si>
    <t>52152102</t>
  </si>
  <si>
    <t>52152104</t>
  </si>
  <si>
    <t>52151501</t>
  </si>
  <si>
    <t>52141501</t>
  </si>
  <si>
    <t>25174001</t>
  </si>
  <si>
    <t>40101808</t>
  </si>
  <si>
    <t>ALIMENTOS Y BEBIDAS</t>
  </si>
  <si>
    <t>50202310</t>
  </si>
  <si>
    <t>50201714</t>
  </si>
  <si>
    <t>50201706</t>
  </si>
  <si>
    <t>50201711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</si>
</sst>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RD$-1C0A]* #,##0.00_-;\-[$RD$-1C0A]* #,##0.00_-;_-[$RD$-1C0A]* &quot;-&quot;??_-;_-@_-"/>
    <numFmt numFmtId="165" formatCode="dd/mm/yyyy"/>
    <numFmt numFmtId="166" formatCode="dd\-mm\-yyyy"/>
    <numFmt numFmtId="167" formatCode="_-[$RD$-1C0A]* #,##0.00_ ;_-[$RD$-1C0A]* \-#,##0.00\ ;_-[$RD$-1C0A]* &quot; - &quot;??_ ;_-@_ "/>
  </numFmts>
  <fonts count="16" x14ac:knownFonts="1">
    <font>
      <sz val="11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2060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3" fillId="5" borderId="6">
      <alignment horizontal="center" vertical="center" wrapText="1"/>
    </xf>
    <xf numFmtId="0" fontId="13" fillId="0" borderId="6">
      <alignment horizontal="center" vertical="center"/>
    </xf>
    <xf numFmtId="0" fontId="13" fillId="5" borderId="6">
      <alignment horizontal="center" vertical="center" textRotation="90" wrapText="1"/>
    </xf>
    <xf numFmtId="0" fontId="13" fillId="6" borderId="6">
      <alignment horizontal="center" vertical="center"/>
    </xf>
    <xf numFmtId="166" fontId="13" fillId="0" borderId="6">
      <alignment horizontal="center" vertical="center"/>
    </xf>
    <xf numFmtId="0" fontId="13" fillId="6" borderId="6">
      <alignment horizontal="center" vertical="center"/>
    </xf>
    <xf numFmtId="0" fontId="13" fillId="0" borderId="6">
      <alignment horizontal="left" vertical="center"/>
    </xf>
    <xf numFmtId="0" fontId="13" fillId="0" borderId="6">
      <alignment horizontal="center" vertical="center"/>
    </xf>
    <xf numFmtId="0" fontId="13" fillId="7" borderId="6">
      <alignment horizontal="center" vertical="center"/>
    </xf>
    <xf numFmtId="0" fontId="14" fillId="8" borderId="8">
      <alignment horizontal="center" vertical="center"/>
    </xf>
    <xf numFmtId="0" fontId="14" fillId="8" borderId="8">
      <alignment horizontal="center" vertical="center" wrapText="1"/>
    </xf>
    <xf numFmtId="0" fontId="14" fillId="8" borderId="8">
      <alignment horizontal="left" vertical="center"/>
    </xf>
    <xf numFmtId="167" fontId="14" fillId="8" borderId="8">
      <alignment horizontal="center" vertical="center"/>
    </xf>
  </cellStyleXfs>
  <cellXfs count="52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>
      <alignment vertical="top" wrapText="1"/>
    </xf>
    <xf numFmtId="0" fontId="5" fillId="0" borderId="0" xfId="0" applyFont="1" applyAlignment="1" applyProtection="1">
      <alignment vertical="center"/>
      <protection hidden="1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>
      <alignment horizontal="left" vertical="center"/>
    </xf>
    <xf numFmtId="0" fontId="8" fillId="2" borderId="3" xfId="0" applyFont="1" applyFill="1" applyBorder="1" applyAlignment="1" applyProtection="1">
      <alignment vertical="center"/>
      <protection hidden="1"/>
    </xf>
    <xf numFmtId="38" fontId="10" fillId="3" borderId="4" xfId="0" applyNumberFormat="1" applyFont="1" applyFill="1" applyBorder="1" applyAlignment="1">
      <alignment vertical="center" wrapText="1"/>
    </xf>
    <xf numFmtId="0" fontId="8" fillId="0" borderId="0" xfId="0" applyFont="1" applyAlignment="1" applyProtection="1">
      <alignment vertical="center"/>
      <protection hidden="1"/>
    </xf>
    <xf numFmtId="0" fontId="9" fillId="2" borderId="0" xfId="0" applyFont="1" applyFill="1" applyAlignment="1">
      <alignment vertical="center"/>
    </xf>
    <xf numFmtId="0" fontId="10" fillId="4" borderId="4" xfId="0" applyFont="1" applyFill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0" fillId="4" borderId="7" xfId="0" applyFont="1" applyFill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/>
    </xf>
    <xf numFmtId="0" fontId="8" fillId="2" borderId="2" xfId="0" applyFont="1" applyFill="1" applyBorder="1" applyAlignment="1" applyProtection="1">
      <alignment vertical="center"/>
      <protection hidden="1"/>
    </xf>
    <xf numFmtId="0" fontId="12" fillId="0" borderId="0" xfId="0" applyFont="1" applyAlignment="1">
      <alignment vertical="center"/>
    </xf>
    <xf numFmtId="0" fontId="13" fillId="5" borderId="6" xfId="1">
      <alignment horizontal="center" vertical="center" wrapText="1"/>
    </xf>
    <xf numFmtId="0" fontId="13" fillId="0" borderId="6" xfId="2" applyProtection="1">
      <alignment horizontal="center" vertical="center"/>
      <protection locked="0"/>
    </xf>
    <xf numFmtId="0" fontId="13" fillId="6" borderId="6" xfId="4">
      <alignment horizontal="center" vertical="center"/>
    </xf>
    <xf numFmtId="166" fontId="13" fillId="0" borderId="6" xfId="5" applyProtection="1">
      <alignment horizontal="center" vertical="center"/>
      <protection locked="0"/>
    </xf>
    <xf numFmtId="0" fontId="13" fillId="6" borderId="6" xfId="6">
      <alignment horizontal="center" vertical="center"/>
    </xf>
    <xf numFmtId="0" fontId="13" fillId="0" borderId="6" xfId="7" applyProtection="1">
      <alignment horizontal="left" vertical="center"/>
      <protection locked="0"/>
    </xf>
    <xf numFmtId="0" fontId="13" fillId="0" borderId="6" xfId="8">
      <alignment horizontal="center" vertical="center"/>
    </xf>
    <xf numFmtId="0" fontId="13" fillId="7" borderId="6" xfId="9">
      <alignment horizontal="center" vertical="center"/>
    </xf>
    <xf numFmtId="0" fontId="14" fillId="8" borderId="8" xfId="10" applyProtection="1">
      <alignment horizontal="center" vertical="center"/>
      <protection locked="0"/>
    </xf>
    <xf numFmtId="0" fontId="14" fillId="8" borderId="8" xfId="11">
      <alignment horizontal="center" vertical="center" wrapText="1"/>
    </xf>
    <xf numFmtId="0" fontId="14" fillId="8" borderId="8" xfId="12" applyProtection="1">
      <alignment horizontal="left" vertical="center"/>
      <protection locked="0"/>
    </xf>
    <xf numFmtId="167" fontId="14" fillId="8" borderId="8" xfId="13" applyProtection="1">
      <alignment horizontal="center" vertical="center"/>
      <protection locked="0"/>
    </xf>
    <xf numFmtId="167" fontId="14" fillId="8" borderId="8" xfId="13">
      <alignment horizontal="center" vertical="center"/>
    </xf>
    <xf numFmtId="0" fontId="13" fillId="7" borderId="8" xfId="9" applyBorder="1">
      <alignment horizontal="center" vertical="center"/>
    </xf>
    <xf numFmtId="167" fontId="14" fillId="7" borderId="8" xfId="13" applyFill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  <xf numFmtId="1" fontId="11" fillId="0" borderId="4" xfId="0" applyNumberFormat="1" applyFont="1" applyBorder="1" applyAlignment="1" applyProtection="1">
      <alignment horizontal="center" vertical="center" wrapText="1"/>
      <protection locked="0"/>
    </xf>
    <xf numFmtId="1" fontId="11" fillId="0" borderId="5" xfId="0" applyNumberFormat="1" applyFont="1" applyBorder="1" applyAlignment="1" applyProtection="1">
      <alignment horizontal="center" vertical="center" wrapText="1"/>
      <protection locked="0"/>
    </xf>
    <xf numFmtId="165" fontId="11" fillId="0" borderId="4" xfId="0" applyNumberFormat="1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3" fillId="5" borderId="6" xfId="3">
      <alignment horizontal="center" vertical="center" textRotation="90" wrapText="1"/>
    </xf>
    <xf numFmtId="0" fontId="13" fillId="0" borderId="6" xfId="2">
      <alignment horizontal="center" vertical="center"/>
    </xf>
  </cellXfs>
  <cellStyles count="14">
    <cellStyle name="ArticleBody" xfId="10" xr:uid="{49477C18-5280-4659-AE02-FE93A0936338}"/>
    <cellStyle name="ArticleBody_currency" xfId="13" xr:uid="{15173337-30F0-4D40-8D25-99AA86E71354}"/>
    <cellStyle name="ArticleBody_text" xfId="12" xr:uid="{F545BA38-4C23-4BF9-9FF9-749CF75A34DE}"/>
    <cellStyle name="ArticleBody_UNSCPCDescription" xfId="11" xr:uid="{B8A5AA9B-76F3-483D-BD85-941BC76612D2}"/>
    <cellStyle name="ArticleHeader" xfId="9" xr:uid="{BDEFD6D4-414D-45E0-B029-B1215FC6FA2A}"/>
    <cellStyle name="Normal" xfId="0" builtinId="0"/>
    <cellStyle name="ProcessBody" xfId="2" xr:uid="{33C99F40-4165-4592-8AD0-4B8F149D69DA}"/>
    <cellStyle name="ProcessBody_address" xfId="7" xr:uid="{F5419330-4D43-4986-A331-0C59A669656B}"/>
    <cellStyle name="ProcessBody_datetime" xfId="5" xr:uid="{E5F53D70-8F24-4CEF-9997-D798E008E46B}"/>
    <cellStyle name="ProcessBody_number" xfId="8" xr:uid="{8E3B68CB-0FF8-46AC-8E0A-EE2283F40955}"/>
    <cellStyle name="ProcessHeader" xfId="1" xr:uid="{700397C5-E0D6-434D-90EA-B3CEE5D8BF93}"/>
    <cellStyle name="ProcessHeader_vertical" xfId="3" xr:uid="{A29C9D8E-DF42-45D5-B849-05560DD28CAF}"/>
    <cellStyle name="ProcessSubHeader" xfId="4" xr:uid="{B5E2F77C-AD5E-43F4-8751-8081ECEEDF13}"/>
    <cellStyle name="ProcessSubHeader_lugar" xfId="6" xr:uid="{9765CB6E-2006-4AD8-96A5-D39E1D487AB3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0</xdr:col>
      <xdr:colOff>1962150</xdr:colOff>
      <xdr:row>3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6</xdr:col>
      <xdr:colOff>152400</xdr:colOff>
      <xdr:row>5</xdr:row>
      <xdr:rowOff>57150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160020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160020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160020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160020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160020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160020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160020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160020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160020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160020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160020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160020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160020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160020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160020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160020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160020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160020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160020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160020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160020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160020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160020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160020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160020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160020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160020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160020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160020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160020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160020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160020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160020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160020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160020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160020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160020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160020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160020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160020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160020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160020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160020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160020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160020</xdr:rowOff>
        </xdr:to>
        <xdr:sp macro="" textlink="">
          <xdr:nvSpPr>
            <xdr:cNvPr id="1090" name="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160020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160020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160020</xdr:rowOff>
        </xdr:to>
        <xdr:sp macro="" textlink="">
          <xdr:nvSpPr>
            <xdr:cNvPr id="1093" name="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160020</xdr:rowOff>
        </xdr:to>
        <xdr:sp macro="" textlink="">
          <xdr:nvSpPr>
            <xdr:cNvPr id="1094" name="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160020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160020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097" name="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098" name="Butto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160020</xdr:rowOff>
        </xdr:to>
        <xdr:sp macro="" textlink="">
          <xdr:nvSpPr>
            <xdr:cNvPr id="1099" name="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160020</xdr:rowOff>
        </xdr:to>
        <xdr:sp macro="" textlink="">
          <xdr:nvSpPr>
            <xdr:cNvPr id="1100" name="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160020</xdr:rowOff>
        </xdr:to>
        <xdr:sp macro="" textlink="">
          <xdr:nvSpPr>
            <xdr:cNvPr id="1101" name="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160020</xdr:rowOff>
        </xdr:to>
        <xdr:sp macro="" textlink="">
          <xdr:nvSpPr>
            <xdr:cNvPr id="1102" name="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160020</xdr:rowOff>
        </xdr:to>
        <xdr:sp macro="" textlink="">
          <xdr:nvSpPr>
            <xdr:cNvPr id="1103" name="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160020</xdr:rowOff>
        </xdr:to>
        <xdr:sp macro="" textlink="">
          <xdr:nvSpPr>
            <xdr:cNvPr id="1104" name="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160020</xdr:rowOff>
        </xdr:to>
        <xdr:sp macro="" textlink="">
          <xdr:nvSpPr>
            <xdr:cNvPr id="1105" name="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160020</xdr:rowOff>
        </xdr:to>
        <xdr:sp macro="" textlink="">
          <xdr:nvSpPr>
            <xdr:cNvPr id="1106" name="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107" name="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160020</xdr:rowOff>
        </xdr:to>
        <xdr:sp macro="" textlink="">
          <xdr:nvSpPr>
            <xdr:cNvPr id="1108" name="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160020</xdr:rowOff>
        </xdr:to>
        <xdr:sp macro="" textlink="">
          <xdr:nvSpPr>
            <xdr:cNvPr id="1109" name="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160020</xdr:rowOff>
        </xdr:to>
        <xdr:sp macro="" textlink="">
          <xdr:nvSpPr>
            <xdr:cNvPr id="1110" name="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111" name="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112" name="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160020</xdr:rowOff>
        </xdr:to>
        <xdr:sp macro="" textlink="">
          <xdr:nvSpPr>
            <xdr:cNvPr id="1113" name="Butto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160020</xdr:rowOff>
        </xdr:to>
        <xdr:sp macro="" textlink="">
          <xdr:nvSpPr>
            <xdr:cNvPr id="1114" name="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160020</xdr:rowOff>
        </xdr:to>
        <xdr:sp macro="" textlink="">
          <xdr:nvSpPr>
            <xdr:cNvPr id="1115" name="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160020</xdr:rowOff>
        </xdr:to>
        <xdr:sp macro="" textlink="">
          <xdr:nvSpPr>
            <xdr:cNvPr id="1116" name="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160020</xdr:rowOff>
        </xdr:to>
        <xdr:sp macro="" textlink="">
          <xdr:nvSpPr>
            <xdr:cNvPr id="1117" name="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118" name="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119" name="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160020</xdr:rowOff>
        </xdr:to>
        <xdr:sp macro="" textlink="">
          <xdr:nvSpPr>
            <xdr:cNvPr id="1120" name="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160020</xdr:rowOff>
        </xdr:to>
        <xdr:sp macro="" textlink="">
          <xdr:nvSpPr>
            <xdr:cNvPr id="1121" name="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160020</xdr:rowOff>
        </xdr:to>
        <xdr:sp macro="" textlink="">
          <xdr:nvSpPr>
            <xdr:cNvPr id="1122" name="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160020</xdr:rowOff>
        </xdr:to>
        <xdr:sp macro="" textlink="">
          <xdr:nvSpPr>
            <xdr:cNvPr id="1123" name="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160020</xdr:rowOff>
        </xdr:to>
        <xdr:sp macro="" textlink="">
          <xdr:nvSpPr>
            <xdr:cNvPr id="1124" name="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160020</xdr:rowOff>
        </xdr:to>
        <xdr:sp macro="" textlink="">
          <xdr:nvSpPr>
            <xdr:cNvPr id="1125" name="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160020</xdr:rowOff>
        </xdr:to>
        <xdr:sp macro="" textlink="">
          <xdr:nvSpPr>
            <xdr:cNvPr id="1126" name="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160020</xdr:rowOff>
        </xdr:to>
        <xdr:sp macro="" textlink="">
          <xdr:nvSpPr>
            <xdr:cNvPr id="1127" name="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160020</xdr:rowOff>
        </xdr:to>
        <xdr:sp macro="" textlink="">
          <xdr:nvSpPr>
            <xdr:cNvPr id="1128" name="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160020</xdr:rowOff>
        </xdr:to>
        <xdr:sp macro="" textlink="">
          <xdr:nvSpPr>
            <xdr:cNvPr id="1129" name="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160020</xdr:rowOff>
        </xdr:to>
        <xdr:sp macro="" textlink="">
          <xdr:nvSpPr>
            <xdr:cNvPr id="1130" name="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160020</xdr:rowOff>
        </xdr:to>
        <xdr:sp macro="" textlink="">
          <xdr:nvSpPr>
            <xdr:cNvPr id="1131" name="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160020</xdr:rowOff>
        </xdr:to>
        <xdr:sp macro="" textlink="">
          <xdr:nvSpPr>
            <xdr:cNvPr id="1132" name="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160020</xdr:rowOff>
        </xdr:to>
        <xdr:sp macro="" textlink="">
          <xdr:nvSpPr>
            <xdr:cNvPr id="1133" name="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160020</xdr:rowOff>
        </xdr:to>
        <xdr:sp macro="" textlink="">
          <xdr:nvSpPr>
            <xdr:cNvPr id="1134" name="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160020</xdr:rowOff>
        </xdr:to>
        <xdr:sp macro="" textlink="">
          <xdr:nvSpPr>
            <xdr:cNvPr id="1135" name="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160020</xdr:rowOff>
        </xdr:to>
        <xdr:sp macro="" textlink="">
          <xdr:nvSpPr>
            <xdr:cNvPr id="1136" name="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160020</xdr:rowOff>
        </xdr:to>
        <xdr:sp macro="" textlink="">
          <xdr:nvSpPr>
            <xdr:cNvPr id="1137" name="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160020</xdr:rowOff>
        </xdr:to>
        <xdr:sp macro="" textlink="">
          <xdr:nvSpPr>
            <xdr:cNvPr id="1138" name="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160020</xdr:rowOff>
        </xdr:to>
        <xdr:sp macro="" textlink="">
          <xdr:nvSpPr>
            <xdr:cNvPr id="1139" name="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160020</xdr:rowOff>
        </xdr:to>
        <xdr:sp macro="" textlink="">
          <xdr:nvSpPr>
            <xdr:cNvPr id="1140" name="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141" name="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142" name="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160020</xdr:rowOff>
        </xdr:to>
        <xdr:sp macro="" textlink="">
          <xdr:nvSpPr>
            <xdr:cNvPr id="1143" name="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160020</xdr:rowOff>
        </xdr:to>
        <xdr:sp macro="" textlink="">
          <xdr:nvSpPr>
            <xdr:cNvPr id="1144" name="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160020</xdr:rowOff>
        </xdr:to>
        <xdr:sp macro="" textlink="">
          <xdr:nvSpPr>
            <xdr:cNvPr id="1145" name="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160020</xdr:rowOff>
        </xdr:to>
        <xdr:sp macro="" textlink="">
          <xdr:nvSpPr>
            <xdr:cNvPr id="1146" name="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160020</xdr:rowOff>
        </xdr:to>
        <xdr:sp macro="" textlink="">
          <xdr:nvSpPr>
            <xdr:cNvPr id="1147" name="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160020</xdr:rowOff>
        </xdr:to>
        <xdr:sp macro="" textlink="">
          <xdr:nvSpPr>
            <xdr:cNvPr id="1148" name="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149" name="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226</xdr:row>
          <xdr:rowOff>0</xdr:rowOff>
        </xdr:to>
        <xdr:sp macro="" textlink="">
          <xdr:nvSpPr>
            <xdr:cNvPr id="1150" name="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160020</xdr:rowOff>
        </xdr:to>
        <xdr:sp macro="" textlink="">
          <xdr:nvSpPr>
            <xdr:cNvPr id="1151" name="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152" name="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237</xdr:row>
          <xdr:rowOff>0</xdr:rowOff>
        </xdr:to>
        <xdr:sp macro="" textlink="">
          <xdr:nvSpPr>
            <xdr:cNvPr id="1153" name="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160020</xdr:rowOff>
        </xdr:to>
        <xdr:sp macro="" textlink="">
          <xdr:nvSpPr>
            <xdr:cNvPr id="1154" name="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155" name="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156" name="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160020</xdr:rowOff>
        </xdr:to>
        <xdr:sp macro="" textlink="">
          <xdr:nvSpPr>
            <xdr:cNvPr id="1157" name="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158" name="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159" name="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160020</xdr:rowOff>
        </xdr:to>
        <xdr:sp macro="" textlink="">
          <xdr:nvSpPr>
            <xdr:cNvPr id="1160" name="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160020</xdr:rowOff>
        </xdr:to>
        <xdr:sp macro="" textlink="">
          <xdr:nvSpPr>
            <xdr:cNvPr id="1161" name="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160020</xdr:rowOff>
        </xdr:to>
        <xdr:sp macro="" textlink="">
          <xdr:nvSpPr>
            <xdr:cNvPr id="1162" name="Butto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160020</xdr:rowOff>
        </xdr:to>
        <xdr:sp macro="" textlink="">
          <xdr:nvSpPr>
            <xdr:cNvPr id="1163" name="Butto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160020</xdr:rowOff>
        </xdr:to>
        <xdr:sp macro="" textlink="">
          <xdr:nvSpPr>
            <xdr:cNvPr id="1164" name="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160020</xdr:rowOff>
        </xdr:to>
        <xdr:sp macro="" textlink="">
          <xdr:nvSpPr>
            <xdr:cNvPr id="1165" name="Butto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160020</xdr:rowOff>
        </xdr:to>
        <xdr:sp macro="" textlink="">
          <xdr:nvSpPr>
            <xdr:cNvPr id="1166" name="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160020</xdr:rowOff>
        </xdr:to>
        <xdr:sp macro="" textlink="">
          <xdr:nvSpPr>
            <xdr:cNvPr id="1167" name="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160020</xdr:rowOff>
        </xdr:to>
        <xdr:sp macro="" textlink="">
          <xdr:nvSpPr>
            <xdr:cNvPr id="1168" name="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160020</xdr:rowOff>
        </xdr:to>
        <xdr:sp macro="" textlink="">
          <xdr:nvSpPr>
            <xdr:cNvPr id="1169" name="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160020</xdr:rowOff>
        </xdr:to>
        <xdr:sp macro="" textlink="">
          <xdr:nvSpPr>
            <xdr:cNvPr id="1170" name="Butto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171" name="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172" name="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160020</xdr:rowOff>
        </xdr:to>
        <xdr:sp macro="" textlink="">
          <xdr:nvSpPr>
            <xdr:cNvPr id="1173" name="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160020</xdr:rowOff>
        </xdr:to>
        <xdr:sp macro="" textlink="">
          <xdr:nvSpPr>
            <xdr:cNvPr id="1174" name="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175" name="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176" name="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160020</xdr:rowOff>
        </xdr:to>
        <xdr:sp macro="" textlink="">
          <xdr:nvSpPr>
            <xdr:cNvPr id="1177" name="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160020</xdr:rowOff>
        </xdr:to>
        <xdr:sp macro="" textlink="">
          <xdr:nvSpPr>
            <xdr:cNvPr id="1178" name="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160020</xdr:rowOff>
        </xdr:to>
        <xdr:sp macro="" textlink="">
          <xdr:nvSpPr>
            <xdr:cNvPr id="1179" name="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160020</xdr:rowOff>
        </xdr:to>
        <xdr:sp macro="" textlink="">
          <xdr:nvSpPr>
            <xdr:cNvPr id="1180" name="Butto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160020</xdr:rowOff>
        </xdr:to>
        <xdr:sp macro="" textlink="">
          <xdr:nvSpPr>
            <xdr:cNvPr id="1181" name="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160020</xdr:rowOff>
        </xdr:to>
        <xdr:sp macro="" textlink="">
          <xdr:nvSpPr>
            <xdr:cNvPr id="1182" name="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160020</xdr:rowOff>
        </xdr:to>
        <xdr:sp macro="" textlink="">
          <xdr:nvSpPr>
            <xdr:cNvPr id="1183" name="Butto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160020</xdr:rowOff>
        </xdr:to>
        <xdr:sp macro="" textlink="">
          <xdr:nvSpPr>
            <xdr:cNvPr id="1184" name="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160020</xdr:rowOff>
        </xdr:to>
        <xdr:sp macro="" textlink="">
          <xdr:nvSpPr>
            <xdr:cNvPr id="1185" name="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160020</xdr:rowOff>
        </xdr:to>
        <xdr:sp macro="" textlink="">
          <xdr:nvSpPr>
            <xdr:cNvPr id="1186" name="Butto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160020</xdr:rowOff>
        </xdr:to>
        <xdr:sp macro="" textlink="">
          <xdr:nvSpPr>
            <xdr:cNvPr id="1187" name="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160020</xdr:rowOff>
        </xdr:to>
        <xdr:sp macro="" textlink="">
          <xdr:nvSpPr>
            <xdr:cNvPr id="1188" name="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160020</xdr:rowOff>
        </xdr:to>
        <xdr:sp macro="" textlink="">
          <xdr:nvSpPr>
            <xdr:cNvPr id="1189" name="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160020</xdr:rowOff>
        </xdr:to>
        <xdr:sp macro="" textlink="">
          <xdr:nvSpPr>
            <xdr:cNvPr id="1190" name="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160020</xdr:rowOff>
        </xdr:to>
        <xdr:sp macro="" textlink="">
          <xdr:nvSpPr>
            <xdr:cNvPr id="1191" name="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160020</xdr:rowOff>
        </xdr:to>
        <xdr:sp macro="" textlink="">
          <xdr:nvSpPr>
            <xdr:cNvPr id="1192" name="Button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193" name="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194" name="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160020</xdr:rowOff>
        </xdr:to>
        <xdr:sp macro="" textlink="">
          <xdr:nvSpPr>
            <xdr:cNvPr id="1195" name="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160020</xdr:rowOff>
        </xdr:to>
        <xdr:sp macro="" textlink="">
          <xdr:nvSpPr>
            <xdr:cNvPr id="1196" name="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160020</xdr:rowOff>
        </xdr:to>
        <xdr:sp macro="" textlink="">
          <xdr:nvSpPr>
            <xdr:cNvPr id="1197" name="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160020</xdr:rowOff>
        </xdr:to>
        <xdr:sp macro="" textlink="">
          <xdr:nvSpPr>
            <xdr:cNvPr id="1198" name="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160020</xdr:rowOff>
        </xdr:to>
        <xdr:sp macro="" textlink="">
          <xdr:nvSpPr>
            <xdr:cNvPr id="1199" name="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160020</xdr:rowOff>
        </xdr:to>
        <xdr:sp macro="" textlink="">
          <xdr:nvSpPr>
            <xdr:cNvPr id="1200" name="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328</xdr:row>
          <xdr:rowOff>0</xdr:rowOff>
        </xdr:from>
        <xdr:to>
          <xdr:col>1</xdr:col>
          <xdr:colOff>457200</xdr:colOff>
          <xdr:row>329</xdr:row>
          <xdr:rowOff>160020</xdr:rowOff>
        </xdr:to>
        <xdr:sp macro="" textlink="">
          <xdr:nvSpPr>
            <xdr:cNvPr id="1201" name="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ompras\Desktop\PACC_2023CECCOM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  <sheetName val="PACC_2023CECCOM 2023"/>
    </sheetNames>
    <definedNames>
      <definedName name="Sheet1.CopyNewProcedure"/>
      <definedName name="Sheet1.deleteProcedure"/>
      <definedName name="Sheet1.deleteRow"/>
      <definedName name="Sheet1.InsertNewTableRow"/>
    </defined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P3" t="str">
            <v>CAJ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P4" t="str">
            <v>CM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P5" t="str">
            <v>CM2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P6" t="str">
            <v>CT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P7" t="str">
            <v>DEC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P8" t="str">
            <v>DM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P9" t="str">
            <v>DÍA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P10" t="str">
            <v>DOC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P11" t="str">
            <v>GAL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P12" t="str">
            <v>G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P13" t="str">
            <v>H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P14" t="str">
            <v>H/H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P15" t="str">
            <v>KG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P16" t="str">
            <v>KM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P17" t="str">
            <v>KM2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P18" t="str">
            <v>LB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P19" t="str">
            <v>L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P20" t="str">
            <v>MES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P21" t="str">
            <v>M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P22" t="str">
            <v>M2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P23" t="str">
            <v>M3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P24" t="str">
            <v>MG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P25" t="str">
            <v>MM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P26" t="str">
            <v>MI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P27" t="str">
            <v>MIL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P28" t="str">
            <v>OZ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P29" t="str">
            <v>PAQ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P30" t="str">
            <v>FT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P31" t="str">
            <v>FT2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P32" t="str">
            <v>FT3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P33" t="str">
            <v>IN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P34" t="str">
            <v>PULG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P35" t="str">
            <v>IN2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P36" t="str">
            <v>500UD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P37" t="str">
            <v>Q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P38" t="str">
            <v>RESMA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P39" t="str">
            <v>SEM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P40" t="str">
            <v>TON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P41" t="str">
            <v>UD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P42" t="str">
            <v>YD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P43" t="str">
            <v>YD2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  <cell r="P44"/>
          <cell r="Q44"/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  <cell r="P45"/>
          <cell r="Q45"/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  <cell r="P46"/>
          <cell r="Q46"/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  <cell r="P47"/>
          <cell r="Q47"/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  <cell r="P48"/>
          <cell r="Q48"/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  <cell r="P49"/>
          <cell r="Q49"/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  <cell r="P50"/>
          <cell r="Q50"/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  <cell r="P51"/>
          <cell r="Q51"/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  <cell r="P52"/>
          <cell r="Q52"/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  <cell r="P53"/>
          <cell r="Q53"/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  <cell r="P54"/>
          <cell r="Q54"/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  <cell r="P55"/>
          <cell r="Q55"/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  <cell r="P56"/>
          <cell r="Q56"/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  <cell r="P57"/>
          <cell r="Q57"/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  <cell r="P58"/>
          <cell r="Q58"/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  <cell r="P59"/>
          <cell r="Q59"/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  <cell r="P60"/>
          <cell r="Q60"/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  <cell r="P61"/>
          <cell r="Q61"/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  <cell r="P62"/>
          <cell r="Q62"/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  <cell r="P63"/>
          <cell r="Q63"/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  <cell r="P64"/>
          <cell r="Q64"/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  <cell r="P65"/>
          <cell r="Q65"/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  <cell r="P66"/>
          <cell r="Q66"/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  <cell r="P67"/>
          <cell r="Q67"/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  <cell r="P68"/>
          <cell r="Q68"/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  <cell r="P69"/>
          <cell r="Q69"/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  <cell r="P70"/>
          <cell r="Q70"/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  <cell r="P71"/>
          <cell r="Q71"/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  <cell r="P72"/>
          <cell r="Q72"/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  <cell r="P73"/>
          <cell r="Q73"/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  <cell r="P74"/>
          <cell r="Q74"/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  <cell r="P75"/>
          <cell r="Q75"/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  <cell r="P76"/>
          <cell r="Q76"/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  <cell r="P77"/>
          <cell r="Q77"/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  <cell r="P78"/>
          <cell r="Q78"/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  <cell r="P79"/>
          <cell r="Q79"/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  <cell r="P80"/>
          <cell r="Q80"/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  <cell r="P81"/>
          <cell r="Q81"/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  <cell r="P82"/>
          <cell r="Q82"/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  <cell r="P83"/>
          <cell r="Q83"/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  <cell r="P84"/>
          <cell r="Q84"/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  <cell r="P85"/>
          <cell r="Q85"/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  <cell r="P86"/>
          <cell r="Q86"/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  <cell r="P87"/>
          <cell r="Q87"/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  <cell r="P88"/>
          <cell r="Q88"/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  <cell r="P89"/>
          <cell r="Q89"/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  <cell r="P90"/>
          <cell r="Q90"/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  <cell r="P91"/>
          <cell r="Q91"/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  <cell r="P92"/>
          <cell r="Q92"/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  <cell r="P93"/>
          <cell r="Q93"/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  <cell r="P94"/>
          <cell r="Q94"/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  <cell r="P95"/>
          <cell r="Q95"/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  <cell r="P96"/>
          <cell r="Q96"/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  <cell r="P97"/>
          <cell r="Q97"/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  <cell r="P98"/>
          <cell r="Q98"/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  <cell r="P99"/>
          <cell r="Q99"/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  <cell r="P100"/>
          <cell r="Q100"/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  <cell r="P101"/>
          <cell r="Q101"/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  <cell r="P102"/>
          <cell r="Q102"/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  <cell r="P103"/>
          <cell r="Q103"/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  <cell r="P104"/>
          <cell r="Q104"/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  <cell r="P105"/>
          <cell r="Q105"/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  <cell r="P106"/>
          <cell r="Q106"/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  <cell r="P107"/>
          <cell r="Q107"/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  <cell r="P108"/>
          <cell r="Q108"/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  <cell r="P109"/>
          <cell r="Q109"/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  <cell r="P110"/>
          <cell r="Q110"/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  <cell r="P111"/>
          <cell r="Q111"/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  <cell r="P112"/>
          <cell r="Q112"/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  <cell r="P113"/>
          <cell r="Q113"/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  <cell r="P114"/>
          <cell r="Q114"/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  <cell r="P115"/>
          <cell r="Q115"/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  <cell r="P116"/>
          <cell r="Q116"/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  <cell r="P117"/>
          <cell r="Q117"/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  <cell r="P118"/>
          <cell r="Q118"/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  <cell r="P119"/>
          <cell r="Q119"/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  <cell r="P120"/>
          <cell r="Q120"/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  <cell r="P121"/>
          <cell r="Q121"/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  <cell r="P122"/>
          <cell r="Q122"/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  <cell r="P123"/>
          <cell r="Q123"/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  <cell r="P124"/>
          <cell r="Q124"/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  <cell r="P125"/>
          <cell r="Q125"/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  <cell r="P126"/>
          <cell r="Q126"/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  <cell r="P127"/>
          <cell r="Q127"/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  <cell r="P128"/>
          <cell r="Q128"/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  <cell r="P129"/>
          <cell r="Q129"/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  <cell r="P130"/>
          <cell r="Q130"/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  <cell r="P131"/>
          <cell r="Q131"/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  <cell r="P132"/>
          <cell r="Q132"/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  <cell r="P133"/>
          <cell r="Q133"/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  <cell r="P134"/>
          <cell r="Q134"/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  <cell r="P135"/>
          <cell r="Q135"/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  <cell r="P136"/>
          <cell r="Q136"/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  <cell r="P137"/>
          <cell r="Q137"/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  <cell r="P138"/>
          <cell r="Q138"/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  <cell r="P139"/>
          <cell r="Q139"/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  <cell r="P140"/>
          <cell r="Q140"/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  <cell r="P141"/>
          <cell r="Q141"/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  <cell r="P142"/>
          <cell r="Q142"/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  <cell r="P143"/>
          <cell r="Q143"/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  <cell r="P144"/>
          <cell r="Q144"/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  <cell r="P145"/>
          <cell r="Q145"/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  <cell r="P146"/>
          <cell r="Q146"/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  <cell r="P147"/>
          <cell r="Q147"/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  <cell r="P148"/>
          <cell r="Q148"/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  <cell r="P149"/>
          <cell r="Q149"/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  <cell r="P150"/>
          <cell r="Q150"/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  <cell r="P151"/>
          <cell r="Q151"/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  <cell r="P152"/>
          <cell r="Q152"/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  <cell r="P153"/>
          <cell r="Q153"/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  <cell r="P154"/>
          <cell r="Q154"/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  <cell r="P155"/>
          <cell r="Q155"/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  <cell r="P156"/>
          <cell r="Q156"/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  <cell r="P157"/>
          <cell r="Q157"/>
        </row>
        <row r="158">
          <cell r="I158" t="str">
            <v>Piedra Blanca</v>
          </cell>
          <cell r="J158" t="str">
            <v>Villa de Sonador</v>
          </cell>
          <cell r="P158"/>
          <cell r="Q158"/>
        </row>
        <row r="159">
          <cell r="I159" t="str">
            <v>Cevicos</v>
          </cell>
          <cell r="J159" t="str">
            <v>Cevicos</v>
          </cell>
          <cell r="P159"/>
          <cell r="Q159"/>
        </row>
        <row r="160">
          <cell r="I160" t="str">
            <v>Cevicos</v>
          </cell>
          <cell r="J160" t="str">
            <v>La Cueva</v>
          </cell>
          <cell r="P160"/>
          <cell r="Q160"/>
        </row>
        <row r="161">
          <cell r="I161" t="str">
            <v>Cotuí</v>
          </cell>
          <cell r="J161" t="str">
            <v>Caballero</v>
          </cell>
          <cell r="P161"/>
          <cell r="Q161"/>
        </row>
        <row r="162">
          <cell r="I162" t="str">
            <v>Cotuí</v>
          </cell>
          <cell r="J162" t="str">
            <v>Comedero Arriba</v>
          </cell>
          <cell r="P162"/>
          <cell r="Q162"/>
        </row>
        <row r="163">
          <cell r="I163" t="str">
            <v>Cotuí</v>
          </cell>
          <cell r="J163" t="str">
            <v>Cotuí</v>
          </cell>
          <cell r="P163"/>
          <cell r="Q163"/>
        </row>
        <row r="164">
          <cell r="I164" t="str">
            <v>Cotuí</v>
          </cell>
          <cell r="J164" t="str">
            <v>Platanal</v>
          </cell>
          <cell r="P164"/>
          <cell r="Q164"/>
        </row>
        <row r="165">
          <cell r="I165" t="str">
            <v>Cotuí</v>
          </cell>
          <cell r="J165" t="str">
            <v>Quita Sueño</v>
          </cell>
          <cell r="P165"/>
          <cell r="Q165"/>
        </row>
        <row r="166">
          <cell r="I166" t="str">
            <v>Fantino</v>
          </cell>
          <cell r="J166" t="str">
            <v>Fantino</v>
          </cell>
          <cell r="P166"/>
          <cell r="Q166"/>
        </row>
        <row r="167">
          <cell r="I167" t="str">
            <v>La Mata</v>
          </cell>
          <cell r="J167" t="str">
            <v>Angelina</v>
          </cell>
          <cell r="P167"/>
          <cell r="Q167"/>
        </row>
        <row r="168">
          <cell r="I168" t="str">
            <v>La Mata</v>
          </cell>
          <cell r="J168" t="str">
            <v>Hernando Alonso</v>
          </cell>
          <cell r="P168"/>
          <cell r="Q168"/>
        </row>
        <row r="169">
          <cell r="I169" t="str">
            <v>La Mata</v>
          </cell>
          <cell r="J169" t="str">
            <v>La Bija</v>
          </cell>
          <cell r="P169"/>
          <cell r="Q169"/>
        </row>
        <row r="170">
          <cell r="I170" t="str">
            <v>La Mata</v>
          </cell>
          <cell r="J170" t="str">
            <v>La Mata</v>
          </cell>
          <cell r="P170"/>
          <cell r="Q170"/>
        </row>
        <row r="171">
          <cell r="I171" t="str">
            <v>Bánica</v>
          </cell>
          <cell r="J171" t="str">
            <v>Bánica</v>
          </cell>
          <cell r="P171"/>
          <cell r="Q171"/>
        </row>
        <row r="172">
          <cell r="I172" t="str">
            <v>Bánica</v>
          </cell>
          <cell r="J172" t="str">
            <v>Sabana Cruz</v>
          </cell>
          <cell r="P172"/>
          <cell r="Q172"/>
        </row>
        <row r="173">
          <cell r="I173" t="str">
            <v>Bánica</v>
          </cell>
          <cell r="J173" t="str">
            <v>Sabana Higüero</v>
          </cell>
          <cell r="P173"/>
          <cell r="Q173"/>
        </row>
        <row r="174">
          <cell r="I174" t="str">
            <v>Comendador</v>
          </cell>
          <cell r="J174" t="str">
            <v>Comendador</v>
          </cell>
          <cell r="P174"/>
          <cell r="Q174"/>
        </row>
        <row r="175">
          <cell r="I175" t="str">
            <v>Comendador</v>
          </cell>
          <cell r="J175" t="str">
            <v>Guayabo</v>
          </cell>
          <cell r="P175"/>
          <cell r="Q175"/>
        </row>
        <row r="176">
          <cell r="I176" t="str">
            <v>Comendador</v>
          </cell>
          <cell r="J176" t="str">
            <v>Sabana Larga</v>
          </cell>
          <cell r="P176"/>
          <cell r="Q176"/>
        </row>
        <row r="177">
          <cell r="I177" t="str">
            <v>El Llano</v>
          </cell>
          <cell r="J177" t="str">
            <v>El Llano</v>
          </cell>
          <cell r="P177"/>
          <cell r="Q177"/>
        </row>
        <row r="178">
          <cell r="I178" t="str">
            <v>El Llano</v>
          </cell>
          <cell r="J178" t="str">
            <v>Guanito</v>
          </cell>
          <cell r="P178"/>
          <cell r="Q178"/>
        </row>
        <row r="179">
          <cell r="I179" t="str">
            <v>Hondo Valle</v>
          </cell>
          <cell r="J179" t="str">
            <v>Hondo Valle</v>
          </cell>
          <cell r="P179"/>
          <cell r="Q179"/>
        </row>
        <row r="180">
          <cell r="I180" t="str">
            <v>Hondo Valle</v>
          </cell>
          <cell r="J180" t="str">
            <v>Rancho de la Guardia</v>
          </cell>
          <cell r="P180"/>
          <cell r="Q180"/>
        </row>
        <row r="181">
          <cell r="I181" t="str">
            <v>Juan Santiago</v>
          </cell>
          <cell r="J181" t="str">
            <v>Juan Santiago</v>
          </cell>
          <cell r="P181"/>
          <cell r="Q181"/>
        </row>
        <row r="182">
          <cell r="I182" t="str">
            <v>Pedro Santana</v>
          </cell>
          <cell r="J182" t="str">
            <v>Pedro Santana</v>
          </cell>
          <cell r="P182"/>
          <cell r="Q182"/>
        </row>
        <row r="183">
          <cell r="I183" t="str">
            <v>Pedro Santana</v>
          </cell>
          <cell r="J183" t="str">
            <v>Río Limpio</v>
          </cell>
          <cell r="P183"/>
          <cell r="Q183"/>
        </row>
        <row r="184">
          <cell r="I184" t="str">
            <v>Bohechio</v>
          </cell>
          <cell r="J184" t="str">
            <v>Arroyo Cano</v>
          </cell>
          <cell r="P184"/>
          <cell r="Q184"/>
        </row>
        <row r="185">
          <cell r="I185" t="str">
            <v>Bohechio</v>
          </cell>
          <cell r="J185" t="str">
            <v>Bohechio</v>
          </cell>
          <cell r="P185"/>
          <cell r="Q185"/>
        </row>
        <row r="186">
          <cell r="I186" t="str">
            <v>Bohechio</v>
          </cell>
          <cell r="J186" t="str">
            <v>El Yaque</v>
          </cell>
          <cell r="P186"/>
          <cell r="Q186"/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8214A-E176-4629-B947-7D8D64E69BE3}" name="Table12" displayName="Table12" ref="A179:F200" totalsRowShown="0">
  <tableColumns count="6">
    <tableColumn id="1" xr3:uid="{F3AE5890-45A7-4C88-B317-79F4EA8A7861}" name="CÓDIGO CATÁLOGO"/>
    <tableColumn id="2" xr3:uid="{E31C5B2B-BA14-4106-A751-D3886D1A5491}" name="ARTÍCULO"/>
    <tableColumn id="3" xr3:uid="{6D8EB387-CDF0-453C-BFFD-EDB7AB2C9F3F}" name="UNIDAD DE MEDIDA"/>
    <tableColumn id="4" xr3:uid="{B055D375-1123-44D0-B7D5-F0006EBF1330}" name="CANTIDAD TOTAL ESTIMADA"/>
    <tableColumn id="5" xr3:uid="{CA6958D8-AF39-4CB5-AD33-1C84DC226B48}" name="PRECIO UNITARIO ESTIMADO"/>
    <tableColumn id="6" xr3:uid="{E4171F00-5075-4D1D-B482-C036CE98046D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A89298-9FEF-443E-8F3E-0CE899C7D49A}" name="Table6" displayName="Table6" ref="A56:F69" totalsRowShown="0">
  <tableColumns count="6">
    <tableColumn id="1" xr3:uid="{A3120604-517D-480A-A93A-F177689037E4}" name="CÓDIGO CATÁLOGO"/>
    <tableColumn id="2" xr3:uid="{52B0CB3B-44E6-46EE-8185-A69FE3953CF8}" name="ARTÍCULO"/>
    <tableColumn id="3" xr3:uid="{1F49A672-9023-4FF3-8D0C-4089718AB5FE}" name="UNIDAD DE MEDIDA"/>
    <tableColumn id="4" xr3:uid="{844B2486-0F7D-4448-8F1D-3CD9DF6B5D1F}" name="CANTIDAD TOTAL ESTIMADA"/>
    <tableColumn id="5" xr3:uid="{FBFE4C82-8C2A-4313-AA65-59DFF852820F}" name="PRECIO UNITARIO ESTIMADO"/>
    <tableColumn id="6" xr3:uid="{3A3386CE-0983-49C4-9845-11509FA92524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FB7C410-7418-45FE-A7E5-497AF559CB82}" name="Table5" displayName="Table5" ref="A35:F46" totalsRowShown="0">
  <tableColumns count="6">
    <tableColumn id="1" xr3:uid="{01547D1F-7C75-40A8-9C5E-CBEF3A5D47D7}" name="CÓDIGO CATÁLOGO"/>
    <tableColumn id="2" xr3:uid="{19722ECF-BD3F-4393-9757-46F90FF68093}" name="ARTÍCULO"/>
    <tableColumn id="3" xr3:uid="{E2D220F8-6E2D-4839-B835-476521FCE3D6}" name="UNIDAD DE MEDIDA"/>
    <tableColumn id="4" xr3:uid="{F2A38728-D4B4-427B-BE5F-07E5B4CB0B7C}" name="CANTIDAD TOTAL ESTIMADA"/>
    <tableColumn id="5" xr3:uid="{B7F7A6DC-CFC0-43F2-9617-93F07C5FA9BB}" name="PRECIO UNITARIO ESTIMADO"/>
    <tableColumn id="6" xr3:uid="{4F1ABD3C-803B-4336-A711-412BECE6019C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26F67E0-F829-4CBE-BFF0-06E9AFE2EE7D}" name="Table9" displayName="Table9" ref="A124:F132" totalsRowShown="0">
  <tableColumns count="6">
    <tableColumn id="1" xr3:uid="{A0197318-5C9D-46C6-98D4-C4FB5D6434F4}" name="CÓDIGO CATÁLOGO"/>
    <tableColumn id="2" xr3:uid="{F74B069E-1ADD-4B99-802A-B3EC2EB8696C}" name="ARTÍCULO"/>
    <tableColumn id="3" xr3:uid="{05D5BEE4-A05C-4AA1-A6DE-79714EBED684}" name="UNIDAD DE MEDIDA">
      <calculatedColumnFormula>IFERROR(VLOOKUP("UD",'[1]Informacion '!P:Q,2,FALSE),"")</calculatedColumnFormula>
    </tableColumn>
    <tableColumn id="4" xr3:uid="{7D0ABDB9-9FD8-4C86-B282-639D93790134}" name="CANTIDAD TOTAL ESTIMADA"/>
    <tableColumn id="5" xr3:uid="{B2578151-FF1F-4394-AE2C-568D9DB41FF4}" name="PRECIO UNITARIO ESTIMADO"/>
    <tableColumn id="6" xr3:uid="{BF941F4A-DC7B-4161-AA9B-F042302B59F9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0D104C-792D-482D-831A-EA736BC984DA}" name="Table4" displayName="Table4" ref="A22:F25" totalsRowShown="0">
  <tableColumns count="6">
    <tableColumn id="1" xr3:uid="{016F13EE-B4B3-43A7-8E6F-5DB4606E5B3D}" name="CÓDIGO CATÁLOGO"/>
    <tableColumn id="2" xr3:uid="{5A3D4B5D-8E01-441D-9AD7-A388B733EF8B}" name="ARTÍCULO"/>
    <tableColumn id="3" xr3:uid="{2D903469-1CC6-4907-B309-42566ABDED88}" name="UNIDAD DE MEDIDA">
      <calculatedColumnFormula>IFERROR(VLOOKUP("UD",'[1]Informacion '!P:Q,2,FALSE),"")</calculatedColumnFormula>
    </tableColumn>
    <tableColumn id="4" xr3:uid="{690B335E-9101-4793-8DEB-0EE09A3AC905}" name="CANTIDAD TOTAL ESTIMADA"/>
    <tableColumn id="5" xr3:uid="{49C13956-C970-4DC4-B263-5EF9BB8D86D6}" name="PRECIO UNITARIO ESTIMADO"/>
    <tableColumn id="6" xr3:uid="{404BD26D-2824-4DC6-A23A-8BA8D2EDF7E9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18E9BE0-3A3F-4E97-9686-7109B2BD79E2}" name="Table8" displayName="Table8" ref="A91:F114" totalsRowShown="0">
  <tableColumns count="6">
    <tableColumn id="1" xr3:uid="{22CD0479-1FB9-47C4-8BF8-D0D82DB00E2D}" name="CÓDIGO CATÁLOGO"/>
    <tableColumn id="2" xr3:uid="{6FBB2F4A-EBFD-43A0-89DD-2F6C562A3AE1}" name="ARTÍCULO"/>
    <tableColumn id="3" xr3:uid="{D5FF3421-6C3C-468D-A163-5ECE50D4877A}" name="UNIDAD DE MEDIDA"/>
    <tableColumn id="4" xr3:uid="{851E7C41-E95B-4226-9BC1-3928E85A15E9}" name="CANTIDAD TOTAL ESTIMADA"/>
    <tableColumn id="5" xr3:uid="{37E218BE-9000-4B43-AB93-ECF06DF20C0F}" name="PRECIO UNITARIO ESTIMADO"/>
    <tableColumn id="6" xr3:uid="{121897D4-6B7E-49AD-A2EF-6D47FC826666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22AAB6A-7E35-4002-A930-62143539EF73}" name="Table13" displayName="Table13" ref="A210:F216" totalsRowShown="0">
  <tableColumns count="6">
    <tableColumn id="1" xr3:uid="{A9892019-E844-460D-B77B-6F4B8EC584FD}" name="CÓDIGO CATÁLOGO"/>
    <tableColumn id="2" xr3:uid="{99714A20-021E-40BC-B399-84CA9160DEDF}" name="ARTÍCULO"/>
    <tableColumn id="3" xr3:uid="{D6D33FB7-961E-4C51-AA3F-CAF3FD1E4E33}" name="UNIDAD DE MEDIDA"/>
    <tableColumn id="4" xr3:uid="{684F82EA-C782-4857-AFE2-7B87A30C3842}" name="CANTIDAD TOTAL ESTIMADA"/>
    <tableColumn id="5" xr3:uid="{A7F1012A-62B7-4147-B3CC-04FC4C77CEBA}" name="PRECIO UNITARIO ESTIMADO"/>
    <tableColumn id="6" xr3:uid="{D79E27E8-8AB2-415A-A44A-DD099DAE8FD4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AD989D7-64CD-48A8-BD52-B21225A436E3}" name="Table7" displayName="Table7" ref="A79:F81" totalsRowShown="0">
  <tableColumns count="6">
    <tableColumn id="1" xr3:uid="{EEE5A0B4-3C50-40FD-AFF9-3AD0BDE9B0E6}" name="CÓDIGO CATÁLOGO"/>
    <tableColumn id="2" xr3:uid="{1B0BEB99-425E-4072-8DDB-B91F0CF2C93B}" name="ARTÍCULO"/>
    <tableColumn id="3" xr3:uid="{4374DA9A-ADB2-42DE-BB39-896FC4BF210C}" name="UNIDAD DE MEDIDA">
      <calculatedColumnFormula>IFERROR(VLOOKUP("UD",'[1]Informacion '!P:Q,2,FALSE),"")</calculatedColumnFormula>
    </tableColumn>
    <tableColumn id="4" xr3:uid="{73A0CF3A-4BAF-4A11-BD8D-CECA93DD3A31}" name="CANTIDAD TOTAL ESTIMADA"/>
    <tableColumn id="5" xr3:uid="{FE57D3BC-0E65-4D10-9700-8E6F2A65B2F1}" name="PRECIO UNITARIO ESTIMADO"/>
    <tableColumn id="6" xr3:uid="{84138210-A02D-41DA-9BA7-F240142D6871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0DACF40-AEFE-4291-8E59-13ABC1257E1F}" name="Table11" displayName="Table11" ref="A164:F169" totalsRowShown="0">
  <tableColumns count="6">
    <tableColumn id="1" xr3:uid="{7B4512F3-2312-422F-BA2B-DADEB985FEC6}" name="CÓDIGO CATÁLOGO"/>
    <tableColumn id="2" xr3:uid="{448CD37A-073E-4242-92BC-934585F0589D}" name="ARTÍCULO"/>
    <tableColumn id="3" xr3:uid="{8B28DEF6-8FFE-4734-BB4F-09CCE88A060B}" name="UNIDAD DE MEDIDA">
      <calculatedColumnFormula>IFERROR(VLOOKUP("UD",'[1]Informacion '!P:Q,2,FALSE),"")</calculatedColumnFormula>
    </tableColumn>
    <tableColumn id="4" xr3:uid="{0E62C7B0-5B6F-4BE1-8C04-BCDF956E872E}" name="CANTIDAD TOTAL ESTIMADA"/>
    <tableColumn id="5" xr3:uid="{B1D6C5D2-DE19-4E21-96DA-F0C789A09400}" name="PRECIO UNITARIO ESTIMADO"/>
    <tableColumn id="6" xr3:uid="{422E1EE7-3EB5-4E57-9DCF-3A0BB03B3381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A529C3-9A31-4717-8364-7891E3E6661F}" name="Table15" displayName="Table15" ref="A237:F238" totalsRowShown="0">
  <tableColumns count="6">
    <tableColumn id="1" xr3:uid="{07B0C155-0D9E-4C16-B7A7-7B2843DA6549}" name="CÓDIGO CATÁLOGO" dataDxfId="0"/>
    <tableColumn id="2" xr3:uid="{C4E53BA4-FEB9-4324-8B46-0FC7544C45D7}" name="ARTÍCULO">
      <calculatedColumnFormula>IFERROR(INDEX(UNSPSCDes,MATCH(INDIRECT(ADDRESS(ROW(),COLUMN()-1,4)),UNSPSCCode,0)),IF(INDIRECT(ADDRESS(ROW(),COLUMN()-1,4))="72102305","Servicios de reparación, mantenimiento o reparación de aire acondicionado",""))</calculatedColumnFormula>
    </tableColumn>
    <tableColumn id="3" xr3:uid="{28D07479-0287-43C9-B3C5-2DAF9111D872}" name="UNIDAD DE MEDIDA">
      <calculatedColumnFormula>IFERROR(VLOOKUP("UD",'[1]Informacion '!P:Q,2,FALSE),"")</calculatedColumnFormula>
    </tableColumn>
    <tableColumn id="4" xr3:uid="{50393738-A8A2-49D9-95D8-F58CB85807BA}" name="CANTIDAD TOTAL ESTIMADA"/>
    <tableColumn id="5" xr3:uid="{CEBFEB46-DE76-4335-AF68-A780E8E2D597}" name="PRECIO UNITARIO ESTIMADO"/>
    <tableColumn id="6" xr3:uid="{08D8C262-9DDD-48B9-AF8C-57B90D089FC8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12A32C-73F7-4D93-BE97-C6CFE51DA464}" name="Table14" displayName="Table14" ref="A226:F227" totalsRowShown="0">
  <tableColumns count="6">
    <tableColumn id="1" xr3:uid="{B9DED977-DFCD-4702-B244-F93A7F7FFC88}" name="CÓDIGO CATÁLOGO"/>
    <tableColumn id="2" xr3:uid="{E05940FA-E645-4B18-BEB8-8D9C166F2178}" name="ARTÍCULO">
      <calculatedColumnFormula>IFERROR(INDEX(UNSPSCDes,MATCH(INDIRECT(ADDRESS(ROW(),COLUMN()-1,4)),UNSPSCCode,0)),IF(INDIRECT(ADDRESS(ROW(),COLUMN()-1,4))="72102103","Servicios de exterminación o fumigación",""))</calculatedColumnFormula>
    </tableColumn>
    <tableColumn id="3" xr3:uid="{5FD46E30-9050-41CC-85D0-D91C1F8CE2EC}" name="UNIDAD DE MEDIDA">
      <calculatedColumnFormula>IFERROR(VLOOKUP("UD",'[1]Informacion '!P:Q,2,FALSE),"")</calculatedColumnFormula>
    </tableColumn>
    <tableColumn id="4" xr3:uid="{9C696CC6-1211-4A2F-BDD7-5C3D6410B036}" name="CANTIDAD TOTAL ESTIMADA"/>
    <tableColumn id="5" xr3:uid="{1A4D9884-1565-479C-998D-AC368212796D}" name="PRECIO UNITARIO ESTIMADO"/>
    <tableColumn id="6" xr3:uid="{325471ED-5BE4-4BB3-8F41-9A7B6E9EF4D7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88D224-362D-4248-8F67-F915DB131E8A}" name="Table17" displayName="Table17" ref="A259:F270" totalsRowShown="0">
  <tableColumns count="6">
    <tableColumn id="1" xr3:uid="{FBC54DD5-D543-4F42-BD37-AD83912045DC}" name="CÓDIGO CATÁLOGO"/>
    <tableColumn id="2" xr3:uid="{5B1D9D29-28EB-45A8-A798-BE3F03AC00EE}" name="ARTÍCULO"/>
    <tableColumn id="3" xr3:uid="{5C2EB1C9-221C-47EF-A886-489F574772EE}" name="UNIDAD DE MEDIDA">
      <calculatedColumnFormula>IFERROR(VLOOKUP("UD",'[1]Informacion '!P:Q,2,FALSE),"")</calculatedColumnFormula>
    </tableColumn>
    <tableColumn id="4" xr3:uid="{6297ABDE-7091-481B-BFF0-A82C233E72C2}" name="CANTIDAD TOTAL ESTIMADA"/>
    <tableColumn id="5" xr3:uid="{FB2051AF-89A5-4299-A51C-B9838D0D2E5C}" name="PRECIO UNITARIO ESTIMADO"/>
    <tableColumn id="6" xr3:uid="{3215DD6E-304C-47F3-B72C-41231AC74DAB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E176F97-56F1-4995-AD75-B64FA786C098}" name="Table18" displayName="Table18" ref="A280:F282" totalsRowShown="0">
  <tableColumns count="6">
    <tableColumn id="1" xr3:uid="{FC9C7038-BC29-4F97-93E2-A8CED56755BA}" name="CÓDIGO CATÁLOGO"/>
    <tableColumn id="2" xr3:uid="{7B09D0F6-5F75-46B3-BDED-7FC824DCA4D5}" name="ARTÍCULO"/>
    <tableColumn id="3" xr3:uid="{6ECFF0D4-EF9D-466D-8DB3-5A14033CC54C}" name="UNIDAD DE MEDIDA">
      <calculatedColumnFormula>IFERROR(VLOOKUP("UD",'[1]Informacion '!P:Q,2,FALSE),"")</calculatedColumnFormula>
    </tableColumn>
    <tableColumn id="4" xr3:uid="{7F59C863-7B69-47E1-9151-B676D374BCBF}" name="CANTIDAD TOTAL ESTIMADA"/>
    <tableColumn id="5" xr3:uid="{397136A5-8193-46EE-BD86-09B78ACD2CB7}" name="PRECIO UNITARIO ESTIMADO"/>
    <tableColumn id="6" xr3:uid="{6634BDBD-F481-45B5-BE07-059A6E6E3D3C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46DF7D7-4D39-4741-9235-6DA7E6307E09}" name="Table10" displayName="Table10" ref="A142:F154" totalsRowShown="0">
  <tableColumns count="6">
    <tableColumn id="1" xr3:uid="{878F6E6D-816C-4169-B68D-89538B85A5D9}" name="CÓDIGO CATÁLOGO"/>
    <tableColumn id="2" xr3:uid="{25CE66E5-683F-4490-8A40-A8D5DEED534B}" name="ARTÍCULO"/>
    <tableColumn id="3" xr3:uid="{B070EC9A-4126-4D64-A4DE-2E30A46BDF0D}" name="UNIDAD DE MEDIDA">
      <calculatedColumnFormula>IFERROR(VLOOKUP("UD",'[1]Informacion '!P:Q,2,FALSE),"")</calculatedColumnFormula>
    </tableColumn>
    <tableColumn id="4" xr3:uid="{826B900C-CD96-441D-999A-D0A2F458C026}" name="CANTIDAD TOTAL ESTIMADA"/>
    <tableColumn id="5" xr3:uid="{85BE77C9-BDAC-463F-B2D6-36C79BADD7FD}" name="PRECIO UNITARIO ESTIMADO"/>
    <tableColumn id="6" xr3:uid="{42A7AAE2-D7CD-4AD3-91D9-D70D58A6773C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FB7A2DF-E9E8-472D-B595-F709602CB9FC}" name="Table20" displayName="Table20" ref="A318:F324" totalsRowShown="0">
  <tableColumns count="6">
    <tableColumn id="1" xr3:uid="{4457DC5B-859A-485E-9A9B-DBCA1DBFA09C}" name="CÓDIGO CATÁLOGO"/>
    <tableColumn id="2" xr3:uid="{BAF1D98F-6401-43D0-8ECE-38508BD8FF28}" name="ARTÍCULO"/>
    <tableColumn id="3" xr3:uid="{2A3833A7-619C-45DF-8E90-DE8CAC89D51F}" name="UNIDAD DE MEDIDA"/>
    <tableColumn id="4" xr3:uid="{66BE9568-045E-4CEE-A030-FBC6553B59F0}" name="CANTIDAD TOTAL ESTIMADA"/>
    <tableColumn id="5" xr3:uid="{A08639D5-CCBF-4E7F-AFA3-8E6CC18FD49E}" name="PRECIO UNITARIO ESTIMADO"/>
    <tableColumn id="6" xr3:uid="{5B194B2D-D548-4890-85D0-672C49AA1B6F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968BD8-78E6-4FF9-A63E-E5D5EB2FDB9F}" name="Table19" displayName="Table19" ref="A292:F308" totalsRowShown="0">
  <tableColumns count="6">
    <tableColumn id="1" xr3:uid="{6F60B09E-1B16-4FD3-BC4D-BAF5B8F10085}" name="CÓDIGO CATÁLOGO"/>
    <tableColumn id="2" xr3:uid="{FE58431C-6EC9-4D36-A4E1-FE55FAC38ED7}" name="ARTÍCULO"/>
    <tableColumn id="3" xr3:uid="{CB430F3B-3865-47B8-B5B4-7D22F834E9A5}" name="UNIDAD DE MEDIDA">
      <calculatedColumnFormula>IFERROR(VLOOKUP("UD",'[1]Informacion '!P:Q,2,FALSE),"")</calculatedColumnFormula>
    </tableColumn>
    <tableColumn id="4" xr3:uid="{EC265294-187D-4DAC-8B43-BE9BE1960C13}" name="CANTIDAD TOTAL ESTIMADA"/>
    <tableColumn id="5" xr3:uid="{A5317099-D375-4467-9D15-53A07F73C24D}" name="PRECIO UNITARIO ESTIMADO"/>
    <tableColumn id="6" xr3:uid="{DF0996D0-D065-4C4A-A20D-DFC9F5EED0D7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850893F-6285-4F3B-8AAA-4B562548959B}" name="Table16" displayName="Table16" ref="A248:F249" totalsRowShown="0">
  <tableColumns count="6">
    <tableColumn id="1" xr3:uid="{602D1912-FA80-43CB-B871-7BDCDD625CE3}" name="CÓDIGO CATÁLOGO"/>
    <tableColumn id="2" xr3:uid="{49A56622-0647-4E21-99FD-80380E9265E1}" name="ARTÍCULO">
      <calculatedColumnFormula>IFERROR(INDEX(UNSPSCDes,MATCH(INDIRECT(ADDRESS(ROW(),COLUMN()-1,4)),UNSPSCCode,0)),IF(INDIRECT(ADDRESS(ROW(),COLUMN()-1,4))="46101601","Municiones de defensa u orden público",""))</calculatedColumnFormula>
    </tableColumn>
    <tableColumn id="3" xr3:uid="{B4411B9C-EE7F-4845-B7CE-5F5F4F888C1F}" name="UNIDAD DE MEDIDA">
      <calculatedColumnFormula>IFERROR(VLOOKUP("UD",'[1]Informacion '!P:Q,2,FALSE),"")</calculatedColumnFormula>
    </tableColumn>
    <tableColumn id="4" xr3:uid="{2C91A815-5C97-4CB5-B138-A5F90E4C4607}" name="CANTIDAD TOTAL ESTIMADA"/>
    <tableColumn id="5" xr3:uid="{1675186A-EC5D-4A2B-85D3-5224F21A37AE}" name="PRECIO UNITARIO ESTIMADO"/>
    <tableColumn id="6" xr3:uid="{9E73BEEB-F4E5-49C4-BFF9-992693FBF052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1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table" Target="../tables/table1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table" Target="../tables/table1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table" Target="../tables/table2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table" Target="../tables/table1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table" Target="../tables/table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table" Target="../tables/table14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table" Target="../tables/table4.xml"/><Relationship Id="rId189" Type="http://schemas.openxmlformats.org/officeDocument/2006/relationships/table" Target="../tables/table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table" Target="../tables/table15.xml"/><Relationship Id="rId190" Type="http://schemas.openxmlformats.org/officeDocument/2006/relationships/table" Target="../tables/table1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table" Target="../tables/table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16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table" Target="../tables/table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17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omments" Target="../comments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4CAC-32D7-4E9A-A638-26CAF1C76B3F}">
  <dimension ref="A1:K335"/>
  <sheetViews>
    <sheetView tabSelected="1" zoomScaleNormal="100" workbookViewId="0">
      <selection activeCell="I5" sqref="I5"/>
    </sheetView>
  </sheetViews>
  <sheetFormatPr baseColWidth="10" defaultRowHeight="14.4" x14ac:dyDescent="0.3"/>
  <cols>
    <col min="1" max="1" width="31.88671875" bestFit="1" customWidth="1"/>
    <col min="2" max="2" width="45.44140625" bestFit="1" customWidth="1"/>
    <col min="5" max="5" width="19.88671875" bestFit="1" customWidth="1"/>
    <col min="6" max="6" width="18" bestFit="1" customWidth="1"/>
  </cols>
  <sheetData>
    <row r="1" spans="1:11" ht="18.600000000000001" thickTop="1" x14ac:dyDescent="0.3">
      <c r="A1" s="43"/>
      <c r="B1" s="1"/>
      <c r="C1" s="2"/>
      <c r="D1" s="2"/>
      <c r="E1" s="3"/>
      <c r="F1" s="1"/>
      <c r="G1" s="1"/>
      <c r="H1" s="4"/>
      <c r="I1" s="5"/>
      <c r="J1" s="5"/>
      <c r="K1" s="6"/>
    </row>
    <row r="2" spans="1:11" ht="18" x14ac:dyDescent="0.3">
      <c r="A2" s="43"/>
      <c r="B2" s="44" t="s">
        <v>0</v>
      </c>
      <c r="C2" s="44"/>
      <c r="D2" s="44"/>
      <c r="E2" s="44"/>
      <c r="F2" s="7"/>
      <c r="G2" s="1"/>
      <c r="H2" s="6"/>
      <c r="I2" s="8"/>
      <c r="J2" s="8"/>
      <c r="K2" s="8"/>
    </row>
    <row r="3" spans="1:11" ht="18" x14ac:dyDescent="0.3">
      <c r="A3" s="43"/>
      <c r="B3" s="45" t="str">
        <f>"AÑO "&amp;E11</f>
        <v>AÑO 2023</v>
      </c>
      <c r="C3" s="45"/>
      <c r="D3" s="45"/>
      <c r="E3" s="45"/>
      <c r="F3" s="9"/>
      <c r="G3" s="1"/>
      <c r="H3" s="6"/>
      <c r="I3" s="8"/>
      <c r="J3" s="8"/>
      <c r="K3" s="8"/>
    </row>
    <row r="4" spans="1:11" ht="18" x14ac:dyDescent="0.3">
      <c r="A4" s="43"/>
      <c r="B4" s="1"/>
      <c r="C4" s="1"/>
      <c r="D4" s="1"/>
      <c r="E4" s="10"/>
      <c r="F4" s="1"/>
      <c r="G4" s="1"/>
      <c r="H4" s="6"/>
      <c r="I4" s="8"/>
      <c r="J4" s="8"/>
      <c r="K4" s="8"/>
    </row>
    <row r="5" spans="1:11" ht="21" thickBot="1" x14ac:dyDescent="0.35">
      <c r="A5" s="11"/>
      <c r="B5" s="11"/>
      <c r="C5" s="12"/>
      <c r="D5" s="12"/>
      <c r="E5" s="12"/>
      <c r="F5" s="12"/>
      <c r="G5" s="13"/>
      <c r="H5" s="13"/>
      <c r="I5" s="8"/>
      <c r="J5" s="8"/>
      <c r="K5" s="8"/>
    </row>
    <row r="6" spans="1:11" ht="15" thickBot="1" x14ac:dyDescent="0.35">
      <c r="A6" s="14" t="s">
        <v>1</v>
      </c>
      <c r="B6" s="13"/>
      <c r="C6" s="15"/>
      <c r="D6" s="16" t="s">
        <v>2</v>
      </c>
      <c r="E6" s="41" t="s">
        <v>3</v>
      </c>
      <c r="F6" s="42"/>
      <c r="G6" s="17"/>
      <c r="H6" s="17"/>
      <c r="I6" s="17"/>
      <c r="J6" s="17"/>
      <c r="K6" s="17"/>
    </row>
    <row r="7" spans="1:11" ht="15" thickBot="1" x14ac:dyDescent="0.35">
      <c r="A7" s="18" t="s">
        <v>4</v>
      </c>
      <c r="B7" s="13"/>
      <c r="C7" s="13"/>
      <c r="D7" s="16" t="s">
        <v>5</v>
      </c>
      <c r="E7" s="41" t="s">
        <v>6</v>
      </c>
      <c r="F7" s="42"/>
      <c r="G7" s="17"/>
      <c r="H7" s="17"/>
      <c r="I7" s="17"/>
      <c r="J7" s="17"/>
      <c r="K7" s="17"/>
    </row>
    <row r="8" spans="1:11" ht="27" thickBot="1" x14ac:dyDescent="0.35">
      <c r="A8" s="13"/>
      <c r="B8" s="13"/>
      <c r="C8" s="13"/>
      <c r="D8" s="16" t="s">
        <v>7</v>
      </c>
      <c r="E8" s="41" t="s">
        <v>8</v>
      </c>
      <c r="F8" s="42"/>
      <c r="G8" s="17"/>
      <c r="H8" s="17"/>
      <c r="I8" s="17"/>
      <c r="J8" s="17"/>
      <c r="K8" s="17"/>
    </row>
    <row r="9" spans="1:11" ht="27" thickBot="1" x14ac:dyDescent="0.35">
      <c r="A9" s="19" t="s">
        <v>9</v>
      </c>
      <c r="B9" s="20">
        <f ca="1">COUNTIFS(TotalEstColumnName,"="&amp;TotalEstLabel,TotalEstColumnValue,"&gt;0")</f>
        <v>17</v>
      </c>
      <c r="C9" s="13"/>
      <c r="D9" s="16" t="s">
        <v>10</v>
      </c>
      <c r="E9" s="41" t="s">
        <v>11</v>
      </c>
      <c r="F9" s="42"/>
      <c r="G9" s="17"/>
      <c r="H9" s="17"/>
      <c r="I9" s="17"/>
      <c r="J9" s="17"/>
      <c r="K9" s="17"/>
    </row>
    <row r="10" spans="1:11" ht="40.200000000000003" thickBot="1" x14ac:dyDescent="0.35">
      <c r="A10" s="21" t="s">
        <v>12</v>
      </c>
      <c r="B10" s="22">
        <f ca="1">SUMIF(TotalEstColumnName,"="&amp;TotalEstLabel,TotalEstColumnValue)</f>
        <v>26995210.5</v>
      </c>
      <c r="C10" s="13"/>
      <c r="D10" s="16" t="s">
        <v>13</v>
      </c>
      <c r="E10" s="41" t="s">
        <v>14</v>
      </c>
      <c r="F10" s="42"/>
      <c r="G10" s="17"/>
      <c r="H10" s="17"/>
      <c r="I10" s="17"/>
      <c r="J10" s="17"/>
      <c r="K10" s="17"/>
    </row>
    <row r="11" spans="1:11" ht="15" thickBot="1" x14ac:dyDescent="0.35">
      <c r="A11" s="13"/>
      <c r="B11" s="13"/>
      <c r="C11" s="13"/>
      <c r="D11" s="16" t="s">
        <v>15</v>
      </c>
      <c r="E11" s="46">
        <v>2023</v>
      </c>
      <c r="F11" s="47"/>
      <c r="G11" s="17"/>
      <c r="H11" s="17"/>
      <c r="I11" s="17"/>
      <c r="J11" s="17"/>
      <c r="K11" s="17"/>
    </row>
    <row r="12" spans="1:11" ht="27" thickBot="1" x14ac:dyDescent="0.35">
      <c r="A12" s="23"/>
      <c r="B12" s="23"/>
      <c r="C12" s="23"/>
      <c r="D12" s="16" t="s">
        <v>16</v>
      </c>
      <c r="E12" s="48" t="s">
        <v>17</v>
      </c>
      <c r="F12" s="49"/>
      <c r="G12" s="17"/>
      <c r="H12" s="17"/>
      <c r="I12" s="17"/>
      <c r="J12" s="17"/>
      <c r="K12" s="17"/>
    </row>
    <row r="13" spans="1:11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5" thickBot="1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21" thickBot="1" x14ac:dyDescent="0.35">
      <c r="A15" s="25" t="s">
        <v>18</v>
      </c>
      <c r="B15" s="25" t="s">
        <v>19</v>
      </c>
      <c r="C15" s="25" t="s">
        <v>20</v>
      </c>
      <c r="D15" s="25" t="s">
        <v>21</v>
      </c>
      <c r="E15" s="25" t="s">
        <v>22</v>
      </c>
      <c r="F15" s="25" t="s">
        <v>23</v>
      </c>
      <c r="G15" s="24"/>
      <c r="H15" s="24"/>
      <c r="I15" s="24"/>
      <c r="J15" s="24"/>
      <c r="K15" s="24"/>
    </row>
    <row r="16" spans="1:11" ht="15" thickBot="1" x14ac:dyDescent="0.35">
      <c r="A16" s="26" t="s">
        <v>24</v>
      </c>
      <c r="B16" s="26" t="s">
        <v>25</v>
      </c>
      <c r="C16" s="26" t="s">
        <v>26</v>
      </c>
      <c r="D16" s="26" t="s">
        <v>27</v>
      </c>
      <c r="E16" s="26" t="s">
        <v>28</v>
      </c>
      <c r="F16" s="26"/>
      <c r="G16" s="24"/>
      <c r="H16" s="24"/>
      <c r="I16" s="24"/>
      <c r="J16" s="24"/>
      <c r="K16" s="24"/>
    </row>
    <row r="17" spans="1:11" ht="15" thickBot="1" x14ac:dyDescent="0.35">
      <c r="A17" s="50" t="s">
        <v>29</v>
      </c>
      <c r="B17" s="27" t="s">
        <v>30</v>
      </c>
      <c r="C17" s="28">
        <v>44942</v>
      </c>
      <c r="D17" s="50" t="s">
        <v>31</v>
      </c>
      <c r="E17" s="29" t="s">
        <v>32</v>
      </c>
      <c r="F17" s="30" t="s">
        <v>33</v>
      </c>
      <c r="G17" s="24"/>
      <c r="H17" s="24"/>
      <c r="I17" s="24"/>
      <c r="J17" s="24"/>
      <c r="K17" s="24"/>
    </row>
    <row r="18" spans="1:11" ht="15" thickBot="1" x14ac:dyDescent="0.35">
      <c r="A18" s="51"/>
      <c r="B18" s="27" t="s">
        <v>34</v>
      </c>
      <c r="C18" s="31">
        <f>IF(C17="","",IF(AND(MONTH(C17)&gt;=1,MONTH(C17)&lt;=3),1,IF(AND(MONTH(C17)&gt;=4,MONTH(C17)&lt;=6),2,IF(AND(MONTH(C17)&gt;=7,MONTH(C17)&lt;=9),3,4))))</f>
        <v>1</v>
      </c>
      <c r="D18" s="51"/>
      <c r="E18" s="29" t="s">
        <v>35</v>
      </c>
      <c r="F18" s="30" t="s">
        <v>36</v>
      </c>
      <c r="G18" s="24"/>
      <c r="H18" s="24"/>
      <c r="I18" s="24"/>
      <c r="J18" s="24"/>
      <c r="K18" s="24"/>
    </row>
    <row r="19" spans="1:11" ht="15" thickBot="1" x14ac:dyDescent="0.35">
      <c r="A19" s="51"/>
      <c r="B19" s="27" t="s">
        <v>37</v>
      </c>
      <c r="C19" s="28">
        <v>45107</v>
      </c>
      <c r="D19" s="51"/>
      <c r="E19" s="29" t="s">
        <v>38</v>
      </c>
      <c r="F19" s="30" t="s">
        <v>39</v>
      </c>
      <c r="G19" s="24"/>
      <c r="H19" s="24"/>
      <c r="I19" s="24"/>
      <c r="J19" s="24"/>
      <c r="K19" s="24"/>
    </row>
    <row r="20" spans="1:11" ht="15" thickBot="1" x14ac:dyDescent="0.35">
      <c r="A20" s="51"/>
      <c r="B20" s="27" t="s">
        <v>34</v>
      </c>
      <c r="C20" s="31">
        <f>IF(C19="","",IF(AND(MONTH(C19)&gt;=1,MONTH(C19)&lt;=3),1,IF(AND(MONTH(C19)&gt;=4,MONTH(C19)&lt;=6),2,IF(AND(MONTH(C19)&gt;=7,MONTH(C19)&lt;=9),3,4))))</f>
        <v>2</v>
      </c>
      <c r="D20" s="51"/>
      <c r="E20" s="29" t="s">
        <v>40</v>
      </c>
      <c r="F20" s="30" t="s">
        <v>39</v>
      </c>
      <c r="G20" s="24"/>
      <c r="H20" s="24"/>
      <c r="I20" s="24"/>
      <c r="J20" s="24"/>
      <c r="K20" s="24"/>
    </row>
    <row r="21" spans="1:11" ht="15" thickBot="1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5" thickBot="1" x14ac:dyDescent="0.35">
      <c r="A22" s="32" t="s">
        <v>41</v>
      </c>
      <c r="B22" s="32" t="s">
        <v>42</v>
      </c>
      <c r="C22" s="32" t="s">
        <v>43</v>
      </c>
      <c r="D22" s="32" t="s">
        <v>44</v>
      </c>
      <c r="E22" s="32" t="s">
        <v>45</v>
      </c>
      <c r="F22" s="32" t="s">
        <v>46</v>
      </c>
      <c r="G22" s="24"/>
      <c r="H22" s="24"/>
      <c r="I22" s="24"/>
      <c r="J22" s="24"/>
      <c r="K22" s="24"/>
    </row>
    <row r="23" spans="1:11" x14ac:dyDescent="0.3">
      <c r="A23" s="33">
        <v>15101506</v>
      </c>
      <c r="B23" s="34" t="str">
        <f ca="1">IFERROR(INDEX(UNSPSCDes,MATCH(INDIRECT(ADDRESS(ROW(),COLUMN()-1,4)),UNSPSCCode,0)),IF(INDIRECT(ADDRESS(ROW(),COLUMN()-1,4))="15101506","Gasolina",""))</f>
        <v>Gasolina</v>
      </c>
      <c r="C23" s="35" t="str">
        <f>IFERROR(VLOOKUP("UD",'[1]Informacion '!P:Q,2,FALSE),"")</f>
        <v>Unidad</v>
      </c>
      <c r="D23" s="33">
        <v>1</v>
      </c>
      <c r="E23" s="36">
        <v>6000000</v>
      </c>
      <c r="F23" s="37">
        <f ca="1">INDIRECT(ADDRESS(ROW(),COLUMN()-2,4))*INDIRECT(ADDRESS(ROW(),COLUMN()-1,4))</f>
        <v>6000000</v>
      </c>
      <c r="G23" s="24"/>
      <c r="H23" s="24"/>
      <c r="I23" s="24"/>
      <c r="J23" s="24"/>
      <c r="K23" s="24"/>
    </row>
    <row r="24" spans="1:11" x14ac:dyDescent="0.3">
      <c r="A24" s="33" t="s">
        <v>47</v>
      </c>
      <c r="B24" s="34" t="str">
        <f ca="1">IFERROR(INDEX(UNSPSCDes,MATCH(INDIRECT(ADDRESS(ROW(),COLUMN()-1,4)),UNSPSCCode,0)),IF(INDIRECT(ADDRESS(ROW(),COLUMN()-1,4))="15101505","Combustible diesel",""))</f>
        <v>Combustible diesel</v>
      </c>
      <c r="C24" s="35" t="str">
        <f>IFERROR(VLOOKUP("UD",'[1]Informacion '!P:Q,2,FALSE),"")</f>
        <v>Unidad</v>
      </c>
      <c r="D24" s="33">
        <v>1</v>
      </c>
      <c r="E24" s="36">
        <v>6000000</v>
      </c>
      <c r="F24" s="37">
        <f ca="1">INDIRECT(ADDRESS(ROW(),COLUMN()-2,4))*INDIRECT(ADDRESS(ROW(),COLUMN()-1,4))</f>
        <v>6000000</v>
      </c>
      <c r="G24" s="24"/>
      <c r="H24" s="24"/>
      <c r="I24" s="24"/>
      <c r="J24" s="24"/>
      <c r="K24" s="24"/>
    </row>
    <row r="25" spans="1:11" x14ac:dyDescent="0.3">
      <c r="A25" s="33" t="s">
        <v>48</v>
      </c>
      <c r="B25" s="34" t="str">
        <f ca="1">IFERROR(INDEX(UNSPSCDes,MATCH(INDIRECT(ADDRESS(ROW(),COLUMN()-1,4)),UNSPSCCode,0)),IF(INDIRECT(ADDRESS(ROW(),COLUMN()-1,4))="15121501","Aceite motor",""))</f>
        <v>Aceite motor</v>
      </c>
      <c r="C25" s="35" t="str">
        <f>IFERROR(VLOOKUP("UD",'[1]Informacion '!P:Q,2,FALSE),"")</f>
        <v>Unidad</v>
      </c>
      <c r="D25" s="33">
        <v>1</v>
      </c>
      <c r="E25" s="36">
        <v>900000</v>
      </c>
      <c r="F25" s="37">
        <f ca="1">INDIRECT(ADDRESS(ROW(),COLUMN()-2,4))*INDIRECT(ADDRESS(ROW(),COLUMN()-1,4))</f>
        <v>900000</v>
      </c>
      <c r="G25" s="24"/>
      <c r="H25" s="24"/>
      <c r="I25" s="24"/>
      <c r="J25" s="24"/>
      <c r="K25" s="24"/>
    </row>
    <row r="26" spans="1:11" x14ac:dyDescent="0.3">
      <c r="A26" s="24"/>
      <c r="B26" s="24"/>
      <c r="C26" s="24"/>
      <c r="D26" s="24"/>
      <c r="E26" s="38" t="s">
        <v>49</v>
      </c>
      <c r="F26" s="39">
        <f ca="1">SUM(Table4[MONTO TOTAL ESTIMADO])</f>
        <v>12900000</v>
      </c>
      <c r="G26" s="24"/>
      <c r="H26" s="24" t="str">
        <f>C16</f>
        <v>Bienes</v>
      </c>
      <c r="I26" s="24" t="str">
        <f>E16</f>
        <v>No</v>
      </c>
      <c r="J26" s="24" t="str">
        <f>D16</f>
        <v>Licitacion Publica</v>
      </c>
      <c r="K26" s="24"/>
    </row>
    <row r="27" spans="1:11" ht="15" thickBot="1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ht="21" thickBot="1" x14ac:dyDescent="0.35">
      <c r="A28" s="25" t="s">
        <v>18</v>
      </c>
      <c r="B28" s="25" t="s">
        <v>19</v>
      </c>
      <c r="C28" s="25" t="s">
        <v>20</v>
      </c>
      <c r="D28" s="25" t="s">
        <v>21</v>
      </c>
      <c r="E28" s="25" t="s">
        <v>22</v>
      </c>
      <c r="F28" s="25" t="s">
        <v>23</v>
      </c>
      <c r="G28" s="24"/>
      <c r="H28" s="24"/>
      <c r="I28" s="24"/>
      <c r="J28" s="24"/>
      <c r="K28" s="24"/>
    </row>
    <row r="29" spans="1:11" ht="15" thickBot="1" x14ac:dyDescent="0.35">
      <c r="A29" s="26" t="s">
        <v>50</v>
      </c>
      <c r="B29" s="26" t="s">
        <v>51</v>
      </c>
      <c r="C29" s="26" t="s">
        <v>26</v>
      </c>
      <c r="D29" s="26" t="s">
        <v>52</v>
      </c>
      <c r="E29" s="26" t="s">
        <v>28</v>
      </c>
      <c r="F29" s="26"/>
      <c r="G29" s="24"/>
      <c r="H29" s="24"/>
      <c r="I29" s="24"/>
      <c r="J29" s="24"/>
      <c r="K29" s="24"/>
    </row>
    <row r="30" spans="1:11" ht="15" thickBot="1" x14ac:dyDescent="0.35">
      <c r="A30" s="50" t="s">
        <v>29</v>
      </c>
      <c r="B30" s="27" t="s">
        <v>30</v>
      </c>
      <c r="C30" s="28">
        <v>45110</v>
      </c>
      <c r="D30" s="50" t="s">
        <v>31</v>
      </c>
      <c r="E30" s="29" t="s">
        <v>32</v>
      </c>
      <c r="F30" s="30" t="s">
        <v>33</v>
      </c>
      <c r="G30" s="24"/>
      <c r="H30" s="24"/>
      <c r="I30" s="24"/>
      <c r="J30" s="24"/>
      <c r="K30" s="24"/>
    </row>
    <row r="31" spans="1:11" ht="15" thickBot="1" x14ac:dyDescent="0.35">
      <c r="A31" s="51"/>
      <c r="B31" s="27" t="s">
        <v>34</v>
      </c>
      <c r="C31" s="31">
        <f>IF(C30="","",IF(AND(MONTH(C30)&gt;=1,MONTH(C30)&lt;=3),1,IF(AND(MONTH(C30)&gt;=4,MONTH(C30)&lt;=6),2,IF(AND(MONTH(C30)&gt;=7,MONTH(C30)&lt;=9),3,4))))</f>
        <v>3</v>
      </c>
      <c r="D31" s="51"/>
      <c r="E31" s="29" t="s">
        <v>35</v>
      </c>
      <c r="F31" s="30" t="s">
        <v>36</v>
      </c>
      <c r="G31" s="24"/>
      <c r="H31" s="24"/>
      <c r="I31" s="24"/>
      <c r="J31" s="24"/>
      <c r="K31" s="24"/>
    </row>
    <row r="32" spans="1:11" ht="15" thickBot="1" x14ac:dyDescent="0.35">
      <c r="A32" s="51"/>
      <c r="B32" s="27" t="s">
        <v>37</v>
      </c>
      <c r="C32" s="28">
        <v>45289</v>
      </c>
      <c r="D32" s="51"/>
      <c r="E32" s="29" t="s">
        <v>38</v>
      </c>
      <c r="F32" s="30" t="s">
        <v>39</v>
      </c>
      <c r="G32" s="24"/>
      <c r="H32" s="24"/>
      <c r="I32" s="24"/>
      <c r="J32" s="24"/>
      <c r="K32" s="24"/>
    </row>
    <row r="33" spans="1:11" ht="15" thickBot="1" x14ac:dyDescent="0.35">
      <c r="A33" s="51"/>
      <c r="B33" s="27" t="s">
        <v>34</v>
      </c>
      <c r="C33" s="31">
        <f>IF(C32="","",IF(AND(MONTH(C32)&gt;=1,MONTH(C32)&lt;=3),1,IF(AND(MONTH(C32)&gt;=4,MONTH(C32)&lt;=6),2,IF(AND(MONTH(C32)&gt;=7,MONTH(C32)&lt;=9),3,4))))</f>
        <v>4</v>
      </c>
      <c r="D33" s="51"/>
      <c r="E33" s="29" t="s">
        <v>40</v>
      </c>
      <c r="F33" s="30" t="s">
        <v>39</v>
      </c>
      <c r="G33" s="24"/>
      <c r="H33" s="24"/>
      <c r="I33" s="24"/>
      <c r="J33" s="24"/>
      <c r="K33" s="24"/>
    </row>
    <row r="34" spans="1:11" ht="15" thickBot="1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5" thickBot="1" x14ac:dyDescent="0.35">
      <c r="A35" s="32" t="s">
        <v>41</v>
      </c>
      <c r="B35" s="32" t="s">
        <v>42</v>
      </c>
      <c r="C35" s="32" t="s">
        <v>43</v>
      </c>
      <c r="D35" s="32" t="s">
        <v>44</v>
      </c>
      <c r="E35" s="32" t="s">
        <v>45</v>
      </c>
      <c r="F35" s="32" t="s">
        <v>46</v>
      </c>
      <c r="G35" s="24"/>
      <c r="H35" s="24"/>
      <c r="I35" s="24"/>
      <c r="J35" s="24"/>
      <c r="K35" s="24"/>
    </row>
    <row r="36" spans="1:11" x14ac:dyDescent="0.3">
      <c r="A36" s="33" t="s">
        <v>53</v>
      </c>
      <c r="B36" s="34" t="str">
        <f ca="1">IFERROR(INDEX(UNSPSCDes,MATCH(INDIRECT(ADDRESS(ROW(),COLUMN()-1,4)),UNSPSCCode,0)),IF(INDIRECT(ADDRESS(ROW(),COLUMN()-1,4))="31211501","Pinturas de esmalte",""))</f>
        <v>Pinturas de esmalte</v>
      </c>
      <c r="C36" s="35" t="str">
        <f>IFERROR(VLOOKUP("GAL",'[1]Informacion '!P:Q,2,FALSE),"")</f>
        <v>Galón</v>
      </c>
      <c r="D36" s="33">
        <v>75</v>
      </c>
      <c r="E36" s="36">
        <v>750</v>
      </c>
      <c r="F36" s="37">
        <f t="shared" ref="F36:F46" ca="1" si="0">INDIRECT(ADDRESS(ROW(),COLUMN()-2,4))*INDIRECT(ADDRESS(ROW(),COLUMN()-1,4))</f>
        <v>56250</v>
      </c>
      <c r="G36" s="24"/>
      <c r="H36" s="24"/>
      <c r="I36" s="24"/>
      <c r="J36" s="24"/>
      <c r="K36" s="24"/>
    </row>
    <row r="37" spans="1:11" x14ac:dyDescent="0.3">
      <c r="A37" s="33" t="s">
        <v>54</v>
      </c>
      <c r="B37" s="34" t="str">
        <f ca="1">IFERROR(INDEX(UNSPSCDes,MATCH(INDIRECT(ADDRESS(ROW(),COLUMN()-1,4)),UNSPSCCode,0)),IF(INDIRECT(ADDRESS(ROW(),COLUMN()-1,4))="31211502","Pinturas de agua",""))</f>
        <v>Pinturas de agua</v>
      </c>
      <c r="C37" s="35" t="str">
        <f>IFERROR(VLOOKUP("GAL",'[1]Informacion '!P:Q,2,FALSE),"")</f>
        <v>Galón</v>
      </c>
      <c r="D37" s="33">
        <v>70</v>
      </c>
      <c r="E37" s="36">
        <v>700</v>
      </c>
      <c r="F37" s="37">
        <f t="shared" ca="1" si="0"/>
        <v>49000</v>
      </c>
      <c r="G37" s="24"/>
      <c r="H37" s="24"/>
      <c r="I37" s="24"/>
      <c r="J37" s="24"/>
      <c r="K37" s="24"/>
    </row>
    <row r="38" spans="1:11" x14ac:dyDescent="0.3">
      <c r="A38" s="33" t="s">
        <v>55</v>
      </c>
      <c r="B38" s="34" t="str">
        <f ca="1">IFERROR(INDEX(UNSPSCDes,MATCH(INDIRECT(ADDRESS(ROW(),COLUMN()-1,4)),UNSPSCCode,0)),IF(INDIRECT(ADDRESS(ROW(),COLUMN()-1,4))="31211505","Pinturas de aceite",""))</f>
        <v>Pinturas de aceite</v>
      </c>
      <c r="C38" s="35" t="str">
        <f>IFERROR(VLOOKUP("GAL",'[1]Informacion '!P:Q,2,FALSE),"")</f>
        <v>Galón</v>
      </c>
      <c r="D38" s="33">
        <v>50</v>
      </c>
      <c r="E38" s="36">
        <v>700</v>
      </c>
      <c r="F38" s="37">
        <f t="shared" ca="1" si="0"/>
        <v>35000</v>
      </c>
      <c r="G38" s="24"/>
      <c r="H38" s="24"/>
      <c r="I38" s="24"/>
      <c r="J38" s="24"/>
      <c r="K38" s="24"/>
    </row>
    <row r="39" spans="1:11" x14ac:dyDescent="0.3">
      <c r="A39" s="33" t="s">
        <v>56</v>
      </c>
      <c r="B39" s="34" t="str">
        <f ca="1">IFERROR(INDEX(UNSPSCDes,MATCH(INDIRECT(ADDRESS(ROW(),COLUMN()-1,4)),UNSPSCCode,0)),IF(INDIRECT(ADDRESS(ROW(),COLUMN()-1,4))="31211508","Pinturas acrílicas",""))</f>
        <v>Pinturas acrílicas</v>
      </c>
      <c r="C39" s="35" t="str">
        <f>IFERROR(VLOOKUP("GAL",'[1]Informacion '!P:Q,2,FALSE),"")</f>
        <v>Galón</v>
      </c>
      <c r="D39" s="33">
        <v>30</v>
      </c>
      <c r="E39" s="36">
        <v>750</v>
      </c>
      <c r="F39" s="37">
        <f t="shared" ca="1" si="0"/>
        <v>22500</v>
      </c>
      <c r="G39" s="24"/>
      <c r="H39" s="24"/>
      <c r="I39" s="24"/>
      <c r="J39" s="24"/>
      <c r="K39" s="24"/>
    </row>
    <row r="40" spans="1:11" x14ac:dyDescent="0.3">
      <c r="A40" s="33" t="s">
        <v>57</v>
      </c>
      <c r="B40" s="34" t="str">
        <f ca="1">IFERROR(INDEX(UNSPSCDes,MATCH(INDIRECT(ADDRESS(ROW(),COLUMN()-1,4)),UNSPSCCode,0)),IF(INDIRECT(ADDRESS(ROW(),COLUMN()-1,4))="31211512","Bases de látex",""))</f>
        <v>Bases de látex</v>
      </c>
      <c r="C40" s="35" t="str">
        <f>IFERROR(VLOOKUP("GAL",'[1]Informacion '!P:Q,2,FALSE),"")</f>
        <v>Galón</v>
      </c>
      <c r="D40" s="33">
        <v>25</v>
      </c>
      <c r="E40" s="36">
        <v>700</v>
      </c>
      <c r="F40" s="37">
        <f t="shared" ca="1" si="0"/>
        <v>17500</v>
      </c>
      <c r="G40" s="24"/>
      <c r="H40" s="24"/>
      <c r="I40" s="24"/>
      <c r="J40" s="24"/>
      <c r="K40" s="24"/>
    </row>
    <row r="41" spans="1:11" x14ac:dyDescent="0.3">
      <c r="A41" s="33" t="s">
        <v>58</v>
      </c>
      <c r="B41" s="34" t="str">
        <f ca="1">IFERROR(INDEX(UNSPSCDes,MATCH(INDIRECT(ADDRESS(ROW(),COLUMN()-1,4)),UNSPSCCode,0)),IF(INDIRECT(ADDRESS(ROW(),COLUMN()-1,4))="31211603","Secantes de pintura",""))</f>
        <v>Secantes de pintura</v>
      </c>
      <c r="C41" s="35" t="str">
        <f>IFERROR(VLOOKUP("GAL",'[1]Informacion '!P:Q,2,FALSE),"")</f>
        <v>Galón</v>
      </c>
      <c r="D41" s="33">
        <v>23</v>
      </c>
      <c r="E41" s="36">
        <v>700</v>
      </c>
      <c r="F41" s="37">
        <f t="shared" ca="1" si="0"/>
        <v>16100</v>
      </c>
      <c r="G41" s="24"/>
      <c r="H41" s="24"/>
      <c r="I41" s="24"/>
      <c r="J41" s="24"/>
      <c r="K41" s="24"/>
    </row>
    <row r="42" spans="1:11" x14ac:dyDescent="0.3">
      <c r="A42" s="33" t="s">
        <v>59</v>
      </c>
      <c r="B42" s="34" t="str">
        <f ca="1">IFERROR(INDEX(UNSPSCDes,MATCH(INDIRECT(ADDRESS(ROW(),COLUMN()-1,4)),UNSPSCCode,0)),IF(INDIRECT(ADDRESS(ROW(),COLUMN()-1,4))="13102030","Cloruro de polivinilo pvc",""))</f>
        <v>Cloruro de polivinilo pvc</v>
      </c>
      <c r="C42" s="35" t="str">
        <f>IFERROR(VLOOKUP("UD",'[1]Informacion '!P:Q,2,FALSE),"")</f>
        <v>Unidad</v>
      </c>
      <c r="D42" s="33">
        <v>25</v>
      </c>
      <c r="E42" s="36">
        <v>245</v>
      </c>
      <c r="F42" s="37">
        <f t="shared" ca="1" si="0"/>
        <v>6125</v>
      </c>
      <c r="G42" s="24"/>
      <c r="H42" s="24"/>
      <c r="I42" s="24"/>
      <c r="J42" s="24"/>
      <c r="K42" s="24"/>
    </row>
    <row r="43" spans="1:11" x14ac:dyDescent="0.3">
      <c r="A43" s="33" t="s">
        <v>60</v>
      </c>
      <c r="B43" s="34" t="str">
        <f ca="1">IFERROR(INDEX(UNSPSCDes,MATCH(INDIRECT(ADDRESS(ROW(),COLUMN()-1,4)),UNSPSCCode,0)),IF(INDIRECT(ADDRESS(ROW(),COLUMN()-1,4))="15121804","Preparación contra óxido",""))</f>
        <v>Preparación contra óxido</v>
      </c>
      <c r="C43" s="35" t="str">
        <f>IFERROR(VLOOKUP("GAL",'[1]Informacion '!P:Q,2,FALSE),"")</f>
        <v>Galón</v>
      </c>
      <c r="D43" s="33">
        <v>25</v>
      </c>
      <c r="E43" s="36">
        <v>700</v>
      </c>
      <c r="F43" s="37">
        <f t="shared" ca="1" si="0"/>
        <v>17500</v>
      </c>
      <c r="G43" s="24"/>
      <c r="H43" s="24"/>
      <c r="I43" s="24"/>
      <c r="J43" s="24"/>
      <c r="K43" s="24"/>
    </row>
    <row r="44" spans="1:11" x14ac:dyDescent="0.3">
      <c r="A44" s="33" t="s">
        <v>61</v>
      </c>
      <c r="B44" s="34" t="str">
        <f ca="1">IFERROR(INDEX(UNSPSCDes,MATCH(INDIRECT(ADDRESS(ROW(),COLUMN()-1,4)),UNSPSCCode,0)),IF(INDIRECT(ADDRESS(ROW(),COLUMN()-1,4))="15121901","Grasa de silicona",""))</f>
        <v>Grasa de silicona</v>
      </c>
      <c r="C44" s="35" t="str">
        <f>IFERROR(VLOOKUP("UD",'[1]Informacion '!P:Q,2,FALSE),"")</f>
        <v>Unidad</v>
      </c>
      <c r="D44" s="33">
        <v>25</v>
      </c>
      <c r="E44" s="36">
        <v>198</v>
      </c>
      <c r="F44" s="37">
        <f t="shared" ca="1" si="0"/>
        <v>4950</v>
      </c>
      <c r="G44" s="24"/>
      <c r="H44" s="24"/>
      <c r="I44" s="24"/>
      <c r="J44" s="24"/>
      <c r="K44" s="24"/>
    </row>
    <row r="45" spans="1:11" x14ac:dyDescent="0.3">
      <c r="A45" s="33" t="s">
        <v>62</v>
      </c>
      <c r="B45" s="34" t="str">
        <f ca="1">IFERROR(INDEX(UNSPSCDes,MATCH(INDIRECT(ADDRESS(ROW(),COLUMN()-1,4)),UNSPSCCode,0)),IF(INDIRECT(ADDRESS(ROW(),COLUMN()-1,4))="24121802","Latas de pintura o barniz",""))</f>
        <v>Latas de pintura o barniz</v>
      </c>
      <c r="C45" s="35" t="str">
        <f>IFERROR(VLOOKUP("GAL",'[1]Informacion '!P:Q,2,FALSE),"")</f>
        <v>Galón</v>
      </c>
      <c r="D45" s="33">
        <v>25</v>
      </c>
      <c r="E45" s="36">
        <v>360</v>
      </c>
      <c r="F45" s="37">
        <f t="shared" ca="1" si="0"/>
        <v>9000</v>
      </c>
      <c r="G45" s="24"/>
      <c r="H45" s="24"/>
      <c r="I45" s="24"/>
      <c r="J45" s="24"/>
      <c r="K45" s="24"/>
    </row>
    <row r="46" spans="1:11" x14ac:dyDescent="0.3">
      <c r="A46" s="33" t="s">
        <v>63</v>
      </c>
      <c r="B46" s="34" t="str">
        <f ca="1">IFERROR(INDEX(UNSPSCDes,MATCH(INDIRECT(ADDRESS(ROW(),COLUMN()-1,4)),UNSPSCCode,0)),IF(INDIRECT(ADDRESS(ROW(),COLUMN()-1,4))="31211703","Lacas",""))</f>
        <v>Lacas</v>
      </c>
      <c r="C46" s="35" t="str">
        <f>IFERROR(VLOOKUP("GAL",'[1]Informacion '!P:Q,2,FALSE),"")</f>
        <v>Galón</v>
      </c>
      <c r="D46" s="33">
        <v>25</v>
      </c>
      <c r="E46" s="36">
        <v>650</v>
      </c>
      <c r="F46" s="37">
        <f t="shared" ca="1" si="0"/>
        <v>16250</v>
      </c>
      <c r="G46" s="24"/>
      <c r="H46" s="24"/>
      <c r="I46" s="24"/>
      <c r="J46" s="24"/>
      <c r="K46" s="24"/>
    </row>
    <row r="47" spans="1:11" x14ac:dyDescent="0.3">
      <c r="A47" s="24"/>
      <c r="B47" s="24"/>
      <c r="C47" s="24"/>
      <c r="D47" s="24"/>
      <c r="E47" s="38" t="s">
        <v>49</v>
      </c>
      <c r="F47" s="39">
        <f ca="1">SUM(Table5[MONTO TOTAL ESTIMADO])</f>
        <v>250175</v>
      </c>
      <c r="G47" s="24"/>
      <c r="H47" s="24" t="str">
        <f>C29</f>
        <v>Bienes</v>
      </c>
      <c r="I47" s="24" t="str">
        <f>E29</f>
        <v>No</v>
      </c>
      <c r="J47" s="24" t="str">
        <f>D29</f>
        <v>Compras Menores</v>
      </c>
      <c r="K47" s="24"/>
    </row>
    <row r="48" spans="1:11" ht="15" thickBot="1" x14ac:dyDescent="0.3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21" thickBot="1" x14ac:dyDescent="0.35">
      <c r="A49" s="25" t="s">
        <v>18</v>
      </c>
      <c r="B49" s="25" t="s">
        <v>19</v>
      </c>
      <c r="C49" s="25" t="s">
        <v>20</v>
      </c>
      <c r="D49" s="25" t="s">
        <v>21</v>
      </c>
      <c r="E49" s="25" t="s">
        <v>22</v>
      </c>
      <c r="F49" s="25" t="s">
        <v>23</v>
      </c>
      <c r="G49" s="24"/>
      <c r="H49" s="24"/>
      <c r="I49" s="24"/>
      <c r="J49" s="24"/>
      <c r="K49" s="24"/>
    </row>
    <row r="50" spans="1:11" ht="15" thickBot="1" x14ac:dyDescent="0.35">
      <c r="A50" s="26" t="s">
        <v>64</v>
      </c>
      <c r="B50" s="26" t="s">
        <v>65</v>
      </c>
      <c r="C50" s="26" t="s">
        <v>26</v>
      </c>
      <c r="D50" s="26" t="s">
        <v>52</v>
      </c>
      <c r="E50" s="26" t="s">
        <v>66</v>
      </c>
      <c r="F50" s="26"/>
      <c r="G50" s="24"/>
      <c r="H50" s="24"/>
      <c r="I50" s="24"/>
      <c r="J50" s="24"/>
      <c r="K50" s="24"/>
    </row>
    <row r="51" spans="1:11" ht="15" thickBot="1" x14ac:dyDescent="0.35">
      <c r="A51" s="50" t="s">
        <v>29</v>
      </c>
      <c r="B51" s="27" t="s">
        <v>30</v>
      </c>
      <c r="C51" s="28">
        <v>44942</v>
      </c>
      <c r="D51" s="50" t="s">
        <v>31</v>
      </c>
      <c r="E51" s="29" t="s">
        <v>32</v>
      </c>
      <c r="F51" s="30" t="s">
        <v>33</v>
      </c>
      <c r="G51" s="24"/>
      <c r="H51" s="24"/>
      <c r="I51" s="24"/>
      <c r="J51" s="24"/>
      <c r="K51" s="24"/>
    </row>
    <row r="52" spans="1:11" ht="15" thickBot="1" x14ac:dyDescent="0.35">
      <c r="A52" s="51"/>
      <c r="B52" s="27" t="s">
        <v>34</v>
      </c>
      <c r="C52" s="31">
        <f>IF(C51="","",IF(AND(MONTH(C51)&gt;=1,MONTH(C51)&lt;=3),1,IF(AND(MONTH(C51)&gt;=4,MONTH(C51)&lt;=6),2,IF(AND(MONTH(C51)&gt;=7,MONTH(C51)&lt;=9),3,4))))</f>
        <v>1</v>
      </c>
      <c r="D52" s="51"/>
      <c r="E52" s="29" t="s">
        <v>35</v>
      </c>
      <c r="F52" s="30" t="s">
        <v>36</v>
      </c>
      <c r="G52" s="24"/>
      <c r="H52" s="24"/>
      <c r="I52" s="24"/>
      <c r="J52" s="24"/>
      <c r="K52" s="24"/>
    </row>
    <row r="53" spans="1:11" ht="15" thickBot="1" x14ac:dyDescent="0.35">
      <c r="A53" s="51"/>
      <c r="B53" s="27" t="s">
        <v>37</v>
      </c>
      <c r="C53" s="28">
        <v>45016</v>
      </c>
      <c r="D53" s="51"/>
      <c r="E53" s="29" t="s">
        <v>38</v>
      </c>
      <c r="F53" s="30" t="s">
        <v>39</v>
      </c>
      <c r="G53" s="24"/>
      <c r="H53" s="24"/>
      <c r="I53" s="24"/>
      <c r="J53" s="24"/>
      <c r="K53" s="24"/>
    </row>
    <row r="54" spans="1:11" ht="15" thickBot="1" x14ac:dyDescent="0.35">
      <c r="A54" s="51"/>
      <c r="B54" s="27" t="s">
        <v>34</v>
      </c>
      <c r="C54" s="31">
        <f>IF(C53="","",IF(AND(MONTH(C53)&gt;=1,MONTH(C53)&lt;=3),1,IF(AND(MONTH(C53)&gt;=4,MONTH(C53)&lt;=6),2,IF(AND(MONTH(C53)&gt;=7,MONTH(C53)&lt;=9),3,4))))</f>
        <v>1</v>
      </c>
      <c r="D54" s="51"/>
      <c r="E54" s="29" t="s">
        <v>40</v>
      </c>
      <c r="F54" s="30" t="s">
        <v>39</v>
      </c>
      <c r="G54" s="24"/>
      <c r="H54" s="24"/>
      <c r="I54" s="24"/>
      <c r="J54" s="24"/>
      <c r="K54" s="24"/>
    </row>
    <row r="55" spans="1:11" ht="15" thickBot="1" x14ac:dyDescent="0.3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5" thickBot="1" x14ac:dyDescent="0.35">
      <c r="A56" s="32" t="s">
        <v>41</v>
      </c>
      <c r="B56" s="32" t="s">
        <v>42</v>
      </c>
      <c r="C56" s="32" t="s">
        <v>43</v>
      </c>
      <c r="D56" s="32" t="s">
        <v>44</v>
      </c>
      <c r="E56" s="32" t="s">
        <v>45</v>
      </c>
      <c r="F56" s="32" t="s">
        <v>46</v>
      </c>
      <c r="G56" s="24"/>
      <c r="H56" s="24"/>
      <c r="I56" s="24"/>
      <c r="J56" s="24"/>
      <c r="K56" s="24"/>
    </row>
    <row r="57" spans="1:11" x14ac:dyDescent="0.3">
      <c r="A57" s="33" t="s">
        <v>67</v>
      </c>
      <c r="B57" s="34" t="str">
        <f ca="1">IFERROR(INDEX(UNSPSCDes,MATCH(INDIRECT(ADDRESS(ROW(),COLUMN()-1,4)),UNSPSCCode,0)),IF(INDIRECT(ADDRESS(ROW(),COLUMN()-1,4))="53131608","Jabones",""))</f>
        <v>Jabones</v>
      </c>
      <c r="C57" s="35" t="str">
        <f>IFERROR(VLOOKUP("GAL",'[1]Informacion '!P:Q,2,FALSE),"")</f>
        <v>Galón</v>
      </c>
      <c r="D57" s="33">
        <v>400</v>
      </c>
      <c r="E57" s="36">
        <v>300</v>
      </c>
      <c r="F57" s="37">
        <f t="shared" ref="F57:F69" ca="1" si="1">INDIRECT(ADDRESS(ROW(),COLUMN()-2,4))*INDIRECT(ADDRESS(ROW(),COLUMN()-1,4))</f>
        <v>120000</v>
      </c>
      <c r="G57" s="24"/>
      <c r="H57" s="24"/>
      <c r="I57" s="24"/>
      <c r="J57" s="24"/>
      <c r="K57" s="24"/>
    </row>
    <row r="58" spans="1:11" x14ac:dyDescent="0.3">
      <c r="A58" s="33" t="s">
        <v>68</v>
      </c>
      <c r="B58" s="34" t="str">
        <f ca="1">IFERROR(INDEX(UNSPSCDes,MATCH(INDIRECT(ADDRESS(ROW(),COLUMN()-1,4)),UNSPSCCode,0)),IF(INDIRECT(ADDRESS(ROW(),COLUMN()-1,4))="47131604","Escobas",""))</f>
        <v>Escobas</v>
      </c>
      <c r="C58" s="35" t="str">
        <f>IFERROR(VLOOKUP("UD",'[1]Informacion '!P:Q,2,FALSE),"")</f>
        <v>Unidad</v>
      </c>
      <c r="D58" s="33">
        <v>185</v>
      </c>
      <c r="E58" s="36">
        <v>90</v>
      </c>
      <c r="F58" s="37">
        <f t="shared" ca="1" si="1"/>
        <v>16650</v>
      </c>
      <c r="G58" s="24"/>
      <c r="H58" s="24"/>
      <c r="I58" s="24"/>
      <c r="J58" s="24"/>
      <c r="K58" s="24"/>
    </row>
    <row r="59" spans="1:11" x14ac:dyDescent="0.3">
      <c r="A59" s="33" t="s">
        <v>69</v>
      </c>
      <c r="B59" s="34" t="str">
        <f ca="1">IFERROR(INDEX(UNSPSCDes,MATCH(INDIRECT(ADDRESS(ROW(),COLUMN()-1,4)),UNSPSCCode,0)),IF(INDIRECT(ADDRESS(ROW(),COLUMN()-1,4))="47131605","Cepillos de limpieza",""))</f>
        <v>Cepillos de limpieza</v>
      </c>
      <c r="C59" s="35" t="str">
        <f>IFERROR(VLOOKUP("UD",'[1]Informacion '!P:Q,2,FALSE),"")</f>
        <v>Unidad</v>
      </c>
      <c r="D59" s="33">
        <v>150</v>
      </c>
      <c r="E59" s="36">
        <v>40</v>
      </c>
      <c r="F59" s="37">
        <f t="shared" ca="1" si="1"/>
        <v>6000</v>
      </c>
      <c r="G59" s="24"/>
      <c r="H59" s="24"/>
      <c r="I59" s="24"/>
      <c r="J59" s="24"/>
      <c r="K59" s="24"/>
    </row>
    <row r="60" spans="1:11" x14ac:dyDescent="0.3">
      <c r="A60" s="33" t="s">
        <v>70</v>
      </c>
      <c r="B60" s="34" t="str">
        <f ca="1">IFERROR(INDEX(UNSPSCDes,MATCH(INDIRECT(ADDRESS(ROW(),COLUMN()-1,4)),UNSPSCCode,0)),IF(INDIRECT(ADDRESS(ROW(),COLUMN()-1,4))="47131611","Recogedor de basura",""))</f>
        <v>Recogedor de basura</v>
      </c>
      <c r="C60" s="35" t="str">
        <f>IFERROR(VLOOKUP("UD",'[1]Informacion '!P:Q,2,FALSE),"")</f>
        <v>Unidad</v>
      </c>
      <c r="D60" s="33">
        <v>150</v>
      </c>
      <c r="E60" s="36">
        <v>75</v>
      </c>
      <c r="F60" s="37">
        <f t="shared" ca="1" si="1"/>
        <v>11250</v>
      </c>
      <c r="G60" s="24"/>
      <c r="H60" s="24"/>
      <c r="I60" s="24"/>
      <c r="J60" s="24"/>
      <c r="K60" s="24"/>
    </row>
    <row r="61" spans="1:11" x14ac:dyDescent="0.3">
      <c r="A61" s="33" t="s">
        <v>71</v>
      </c>
      <c r="B61" s="3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1" s="35" t="str">
        <f>IFERROR(VLOOKUP("GAL",'[1]Informacion '!P:Q,2,FALSE),"")</f>
        <v>Galón</v>
      </c>
      <c r="D61" s="33">
        <v>285</v>
      </c>
      <c r="E61" s="36">
        <v>225</v>
      </c>
      <c r="F61" s="37">
        <f t="shared" ca="1" si="1"/>
        <v>64125</v>
      </c>
      <c r="G61" s="24"/>
      <c r="H61" s="24"/>
      <c r="I61" s="24"/>
      <c r="J61" s="24"/>
      <c r="K61" s="24"/>
    </row>
    <row r="62" spans="1:11" x14ac:dyDescent="0.3">
      <c r="A62" s="33" t="s">
        <v>72</v>
      </c>
      <c r="B62" s="34" t="str">
        <f ca="1">IFERROR(INDEX(UNSPSCDes,MATCH(INDIRECT(ADDRESS(ROW(),COLUMN()-1,4)),UNSPSCCode,0)),IF(INDIRECT(ADDRESS(ROW(),COLUMN()-1,4))="12161902","Surfactantes detergentes",""))</f>
        <v>Surfactantes detergentes</v>
      </c>
      <c r="C62" s="35" t="str">
        <f>IFERROR(VLOOKUP("LB",'[1]Informacion '!P:Q,2,FALSE),"")</f>
        <v>Libra </v>
      </c>
      <c r="D62" s="33">
        <v>275</v>
      </c>
      <c r="E62" s="36">
        <v>45.28</v>
      </c>
      <c r="F62" s="37">
        <f t="shared" ca="1" si="1"/>
        <v>12452</v>
      </c>
      <c r="G62" s="24"/>
      <c r="H62" s="24"/>
      <c r="I62" s="24"/>
      <c r="J62" s="24"/>
      <c r="K62" s="24"/>
    </row>
    <row r="63" spans="1:11" x14ac:dyDescent="0.3">
      <c r="A63" s="33" t="s">
        <v>73</v>
      </c>
      <c r="B63" s="34" t="str">
        <f ca="1">IFERROR(INDEX(UNSPSCDes,MATCH(INDIRECT(ADDRESS(ROW(),COLUMN()-1,4)),UNSPSCCode,0)),IF(INDIRECT(ADDRESS(ROW(),COLUMN()-1,4))="12141901","Cloro cl",""))</f>
        <v>Cloro cl</v>
      </c>
      <c r="C63" s="35" t="str">
        <f>IFERROR(VLOOKUP("GAL",'[1]Informacion '!P:Q,2,FALSE),"")</f>
        <v>Galón</v>
      </c>
      <c r="D63" s="33">
        <v>275</v>
      </c>
      <c r="E63" s="36">
        <v>135</v>
      </c>
      <c r="F63" s="37">
        <f t="shared" ca="1" si="1"/>
        <v>37125</v>
      </c>
      <c r="G63" s="24"/>
      <c r="H63" s="24"/>
      <c r="I63" s="24"/>
      <c r="J63" s="24"/>
      <c r="K63" s="24"/>
    </row>
    <row r="64" spans="1:11" x14ac:dyDescent="0.3">
      <c r="A64" s="33" t="s">
        <v>74</v>
      </c>
      <c r="B64" s="34" t="str">
        <f ca="1">IFERROR(INDEX(UNSPSCDes,MATCH(INDIRECT(ADDRESS(ROW(),COLUMN()-1,4)),UNSPSCCode,0)),IF(INDIRECT(ADDRESS(ROW(),COLUMN()-1,4))="24111503","Bolsas plásticas",""))</f>
        <v>Bolsas plásticas</v>
      </c>
      <c r="C64" s="35" t="str">
        <f>IFERROR(VLOOKUP("UD",'[1]Informacion '!P:Q,2,FALSE),"")</f>
        <v>Unidad</v>
      </c>
      <c r="D64" s="33">
        <v>179</v>
      </c>
      <c r="E64" s="36">
        <v>9.5</v>
      </c>
      <c r="F64" s="37">
        <f t="shared" ca="1" si="1"/>
        <v>1700.5</v>
      </c>
      <c r="G64" s="24"/>
      <c r="H64" s="24"/>
      <c r="I64" s="24"/>
      <c r="J64" s="24"/>
      <c r="K64" s="24"/>
    </row>
    <row r="65" spans="1:11" x14ac:dyDescent="0.3">
      <c r="A65" s="33" t="s">
        <v>75</v>
      </c>
      <c r="B65" s="34" t="str">
        <f ca="1">IFERROR(INDEX(UNSPSCDes,MATCH(INDIRECT(ADDRESS(ROW(),COLUMN()-1,4)),UNSPSCCode,0)),IF(INDIRECT(ADDRESS(ROW(),COLUMN()-1,4))="47131502","Pañitos o toallas para limpiar",""))</f>
        <v>Pañitos o toallas para limpiar</v>
      </c>
      <c r="C65" s="35" t="str">
        <f>IFERROR(VLOOKUP("UD",'[1]Informacion '!P:Q,2,FALSE),"")</f>
        <v>Unidad</v>
      </c>
      <c r="D65" s="33">
        <v>190</v>
      </c>
      <c r="E65" s="36">
        <v>1100</v>
      </c>
      <c r="F65" s="37">
        <f t="shared" ca="1" si="1"/>
        <v>209000</v>
      </c>
      <c r="G65" s="24"/>
      <c r="H65" s="24"/>
      <c r="I65" s="24"/>
      <c r="J65" s="24"/>
      <c r="K65" s="24"/>
    </row>
    <row r="66" spans="1:11" x14ac:dyDescent="0.3">
      <c r="A66" s="33" t="s">
        <v>76</v>
      </c>
      <c r="B66" s="34" t="str">
        <f ca="1">IFERROR(INDEX(UNSPSCDes,MATCH(INDIRECT(ADDRESS(ROW(),COLUMN()-1,4)),UNSPSCCode,0)),IF(INDIRECT(ADDRESS(ROW(),COLUMN()-1,4))="46181504","Guantes de protección",""))</f>
        <v>Guantes de protección</v>
      </c>
      <c r="C66" s="35" t="str">
        <f>IFERROR(VLOOKUP("UD",'[1]Informacion '!P:Q,2,FALSE),"")</f>
        <v>Unidad</v>
      </c>
      <c r="D66" s="33">
        <v>70</v>
      </c>
      <c r="E66" s="36">
        <v>35</v>
      </c>
      <c r="F66" s="37">
        <f t="shared" ca="1" si="1"/>
        <v>2450</v>
      </c>
      <c r="G66" s="24"/>
      <c r="H66" s="24"/>
      <c r="I66" s="24"/>
      <c r="J66" s="24"/>
      <c r="K66" s="24"/>
    </row>
    <row r="67" spans="1:11" x14ac:dyDescent="0.3">
      <c r="A67" s="33" t="s">
        <v>77</v>
      </c>
      <c r="B67" s="34" t="str">
        <f ca="1">IFERROR(INDEX(UNSPSCDes,MATCH(INDIRECT(ADDRESS(ROW(),COLUMN()-1,4)),UNSPSCCode,0)),IF(INDIRECT(ADDRESS(ROW(),COLUMN()-1,4))="47131706","Dispensadores de ambientadores",""))</f>
        <v>Dispensadores de ambientadores</v>
      </c>
      <c r="C67" s="35" t="str">
        <f>IFERROR(VLOOKUP("UD",'[1]Informacion '!P:Q,2,FALSE),"")</f>
        <v>Unidad</v>
      </c>
      <c r="D67" s="33">
        <v>25</v>
      </c>
      <c r="E67" s="36">
        <v>390</v>
      </c>
      <c r="F67" s="37">
        <f t="shared" ca="1" si="1"/>
        <v>9750</v>
      </c>
      <c r="G67" s="24"/>
      <c r="H67" s="24"/>
      <c r="I67" s="24"/>
      <c r="J67" s="24"/>
      <c r="K67" s="24"/>
    </row>
    <row r="68" spans="1:11" x14ac:dyDescent="0.3">
      <c r="A68" s="33" t="s">
        <v>78</v>
      </c>
      <c r="B68" s="34" t="str">
        <f ca="1">IFERROR(INDEX(UNSPSCDes,MATCH(INDIRECT(ADDRESS(ROW(),COLUMN()-1,4)),UNSPSCCode,0)),IF(INDIRECT(ADDRESS(ROW(),COLUMN()-1,4))="42312310","Botellas limpiadoras",""))</f>
        <v>Botellas limpiadoras</v>
      </c>
      <c r="C68" s="35" t="str">
        <f>IFERROR(VLOOKUP("UD",'[1]Informacion '!P:Q,2,FALSE),"")</f>
        <v>Unidad</v>
      </c>
      <c r="D68" s="33">
        <v>50</v>
      </c>
      <c r="E68" s="36">
        <v>30</v>
      </c>
      <c r="F68" s="37">
        <f t="shared" ca="1" si="1"/>
        <v>1500</v>
      </c>
      <c r="G68" s="24"/>
      <c r="H68" s="24"/>
      <c r="I68" s="24"/>
      <c r="J68" s="24"/>
      <c r="K68" s="24"/>
    </row>
    <row r="69" spans="1:11" x14ac:dyDescent="0.3">
      <c r="A69" s="33" t="s">
        <v>79</v>
      </c>
      <c r="B69" s="34" t="str">
        <f ca="1">IFERROR(INDEX(UNSPSCDes,MATCH(INDIRECT(ADDRESS(ROW(),COLUMN()-1,4)),UNSPSCCode,0)),IF(INDIRECT(ADDRESS(ROW(),COLUMN()-1,4))="47131801","Limpiadores de pisos",""))</f>
        <v>Limpiadores de pisos</v>
      </c>
      <c r="C69" s="35" t="str">
        <f>IFERROR(VLOOKUP("UD",'[1]Informacion '!P:Q,2,FALSE),"")</f>
        <v>Unidad</v>
      </c>
      <c r="D69" s="33">
        <v>100</v>
      </c>
      <c r="E69" s="36">
        <v>80</v>
      </c>
      <c r="F69" s="37">
        <f t="shared" ca="1" si="1"/>
        <v>8000</v>
      </c>
      <c r="G69" s="24"/>
      <c r="H69" s="24"/>
      <c r="I69" s="24"/>
      <c r="J69" s="24"/>
      <c r="K69" s="24"/>
    </row>
    <row r="70" spans="1:11" x14ac:dyDescent="0.3">
      <c r="A70" s="24"/>
      <c r="B70" s="24"/>
      <c r="C70" s="24"/>
      <c r="D70" s="24"/>
      <c r="E70" s="38" t="s">
        <v>49</v>
      </c>
      <c r="F70" s="39">
        <f ca="1">SUM(Table6[MONTO TOTAL ESTIMADO])</f>
        <v>500002.5</v>
      </c>
      <c r="G70" s="24"/>
      <c r="H70" s="24" t="str">
        <f>C50</f>
        <v>Bienes</v>
      </c>
      <c r="I70" s="24" t="str">
        <f>E50</f>
        <v>Sí</v>
      </c>
      <c r="J70" s="24" t="str">
        <f>D50</f>
        <v>Compras Menores</v>
      </c>
      <c r="K70" s="24"/>
    </row>
    <row r="71" spans="1:11" ht="15" thickBot="1" x14ac:dyDescent="0.3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ht="21" thickBot="1" x14ac:dyDescent="0.35">
      <c r="A72" s="25" t="s">
        <v>18</v>
      </c>
      <c r="B72" s="25" t="s">
        <v>19</v>
      </c>
      <c r="C72" s="25" t="s">
        <v>20</v>
      </c>
      <c r="D72" s="25" t="s">
        <v>21</v>
      </c>
      <c r="E72" s="25" t="s">
        <v>22</v>
      </c>
      <c r="F72" s="25" t="s">
        <v>23</v>
      </c>
      <c r="G72" s="24"/>
      <c r="H72" s="24"/>
      <c r="I72" s="24"/>
      <c r="J72" s="24"/>
      <c r="K72" s="24"/>
    </row>
    <row r="73" spans="1:11" ht="15" thickBot="1" x14ac:dyDescent="0.35">
      <c r="A73" s="26" t="s">
        <v>80</v>
      </c>
      <c r="B73" s="26" t="s">
        <v>81</v>
      </c>
      <c r="C73" s="26" t="s">
        <v>82</v>
      </c>
      <c r="D73" s="26" t="s">
        <v>52</v>
      </c>
      <c r="E73" s="26" t="s">
        <v>28</v>
      </c>
      <c r="F73" s="26" t="s">
        <v>17</v>
      </c>
      <c r="G73" s="24"/>
      <c r="H73" s="24"/>
      <c r="I73" s="24"/>
      <c r="J73" s="24"/>
      <c r="K73" s="24"/>
    </row>
    <row r="74" spans="1:11" ht="15" thickBot="1" x14ac:dyDescent="0.35">
      <c r="A74" s="50" t="s">
        <v>29</v>
      </c>
      <c r="B74" s="27" t="s">
        <v>30</v>
      </c>
      <c r="C74" s="28">
        <v>44577</v>
      </c>
      <c r="D74" s="50" t="s">
        <v>31</v>
      </c>
      <c r="E74" s="29" t="s">
        <v>32</v>
      </c>
      <c r="F74" s="30" t="s">
        <v>33</v>
      </c>
      <c r="G74" s="24"/>
      <c r="H74" s="24"/>
      <c r="I74" s="24"/>
      <c r="J74" s="24"/>
      <c r="K74" s="24"/>
    </row>
    <row r="75" spans="1:11" ht="15" thickBot="1" x14ac:dyDescent="0.35">
      <c r="A75" s="51"/>
      <c r="B75" s="27" t="s">
        <v>34</v>
      </c>
      <c r="C75" s="31">
        <f>IF(C74="","",IF(AND(MONTH(C74)&gt;=1,MONTH(C74)&lt;=3),1,IF(AND(MONTH(C74)&gt;=4,MONTH(C74)&lt;=6),2,IF(AND(MONTH(C74)&gt;=7,MONTH(C74)&lt;=9),3,4))))</f>
        <v>1</v>
      </c>
      <c r="D75" s="51"/>
      <c r="E75" s="29" t="s">
        <v>35</v>
      </c>
      <c r="F75" s="30" t="s">
        <v>36</v>
      </c>
      <c r="G75" s="24"/>
      <c r="H75" s="24"/>
      <c r="I75" s="24"/>
      <c r="J75" s="24"/>
      <c r="K75" s="24"/>
    </row>
    <row r="76" spans="1:11" ht="15" thickBot="1" x14ac:dyDescent="0.35">
      <c r="A76" s="51"/>
      <c r="B76" s="27" t="s">
        <v>37</v>
      </c>
      <c r="C76" s="28">
        <v>45016</v>
      </c>
      <c r="D76" s="51"/>
      <c r="E76" s="29" t="s">
        <v>38</v>
      </c>
      <c r="F76" s="30" t="s">
        <v>39</v>
      </c>
      <c r="G76" s="24"/>
      <c r="H76" s="24"/>
      <c r="I76" s="24"/>
      <c r="J76" s="24"/>
      <c r="K76" s="24"/>
    </row>
    <row r="77" spans="1:11" ht="15" thickBot="1" x14ac:dyDescent="0.35">
      <c r="A77" s="51"/>
      <c r="B77" s="27" t="s">
        <v>34</v>
      </c>
      <c r="C77" s="31">
        <f>IF(C76="","",IF(AND(MONTH(C76)&gt;=1,MONTH(C76)&lt;=3),1,IF(AND(MONTH(C76)&gt;=4,MONTH(C76)&lt;=6),2,IF(AND(MONTH(C76)&gt;=7,MONTH(C76)&lt;=9),3,4))))</f>
        <v>1</v>
      </c>
      <c r="D77" s="51"/>
      <c r="E77" s="29" t="s">
        <v>40</v>
      </c>
      <c r="F77" s="30" t="s">
        <v>39</v>
      </c>
      <c r="G77" s="24"/>
      <c r="H77" s="24"/>
      <c r="I77" s="24"/>
      <c r="J77" s="24"/>
      <c r="K77" s="24"/>
    </row>
    <row r="78" spans="1:11" ht="15" thickBot="1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ht="15" thickBot="1" x14ac:dyDescent="0.35">
      <c r="A79" s="32" t="s">
        <v>41</v>
      </c>
      <c r="B79" s="32" t="s">
        <v>42</v>
      </c>
      <c r="C79" s="32" t="s">
        <v>43</v>
      </c>
      <c r="D79" s="32" t="s">
        <v>44</v>
      </c>
      <c r="E79" s="32" t="s">
        <v>45</v>
      </c>
      <c r="F79" s="32" t="s">
        <v>46</v>
      </c>
      <c r="G79" s="24"/>
      <c r="H79" s="24"/>
      <c r="I79" s="24"/>
      <c r="J79" s="24"/>
      <c r="K79" s="24"/>
    </row>
    <row r="80" spans="1:11" x14ac:dyDescent="0.3">
      <c r="A80" s="33" t="s">
        <v>83</v>
      </c>
      <c r="B80" s="34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80" s="35" t="str">
        <f>IFERROR(VLOOKUP("UD",'[1]Informacion '!P:Q,2,FALSE),"")</f>
        <v>Unidad</v>
      </c>
      <c r="D80" s="33">
        <v>1</v>
      </c>
      <c r="E80" s="36">
        <v>250000</v>
      </c>
      <c r="F80" s="37">
        <f ca="1">INDIRECT(ADDRESS(ROW(),COLUMN()-2,4))*INDIRECT(ADDRESS(ROW(),COLUMN()-1,4))</f>
        <v>250000</v>
      </c>
      <c r="G80" s="24"/>
      <c r="H80" s="24"/>
      <c r="I80" s="24"/>
      <c r="J80" s="24"/>
      <c r="K80" s="24"/>
    </row>
    <row r="81" spans="1:11" x14ac:dyDescent="0.3">
      <c r="A81" s="33" t="s">
        <v>84</v>
      </c>
      <c r="B81" s="34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81" s="35" t="str">
        <f>IFERROR(VLOOKUP("UD",'[1]Informacion '!P:Q,2,FALSE),"")</f>
        <v>Unidad</v>
      </c>
      <c r="D81" s="33">
        <v>1</v>
      </c>
      <c r="E81" s="36">
        <v>250000</v>
      </c>
      <c r="F81" s="37">
        <f ca="1">INDIRECT(ADDRESS(ROW(),COLUMN()-2,4))*INDIRECT(ADDRESS(ROW(),COLUMN()-1,4))</f>
        <v>250000</v>
      </c>
      <c r="G81" s="24"/>
      <c r="H81" s="24"/>
      <c r="I81" s="24"/>
      <c r="J81" s="24"/>
      <c r="K81" s="24"/>
    </row>
    <row r="82" spans="1:11" x14ac:dyDescent="0.3">
      <c r="A82" s="24"/>
      <c r="B82" s="24"/>
      <c r="C82" s="24"/>
      <c r="D82" s="24"/>
      <c r="E82" s="38" t="s">
        <v>49</v>
      </c>
      <c r="F82" s="39">
        <f ca="1">SUM(Table7[MONTO TOTAL ESTIMADO])</f>
        <v>500000</v>
      </c>
      <c r="G82" s="24"/>
      <c r="H82" s="24" t="str">
        <f>C73</f>
        <v>Servicios</v>
      </c>
      <c r="I82" s="24" t="str">
        <f>E73</f>
        <v>No</v>
      </c>
      <c r="J82" s="24" t="str">
        <f>D73</f>
        <v>Compras Menores</v>
      </c>
      <c r="K82" s="24"/>
    </row>
    <row r="83" spans="1:11" ht="15" thickBot="1" x14ac:dyDescent="0.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ht="21" thickBot="1" x14ac:dyDescent="0.35">
      <c r="A84" s="25" t="s">
        <v>18</v>
      </c>
      <c r="B84" s="25" t="s">
        <v>19</v>
      </c>
      <c r="C84" s="25" t="s">
        <v>20</v>
      </c>
      <c r="D84" s="25" t="s">
        <v>21</v>
      </c>
      <c r="E84" s="25" t="s">
        <v>22</v>
      </c>
      <c r="F84" s="25" t="s">
        <v>23</v>
      </c>
      <c r="G84" s="24"/>
      <c r="H84" s="24"/>
      <c r="I84" s="24"/>
      <c r="J84" s="24"/>
      <c r="K84" s="24"/>
    </row>
    <row r="85" spans="1:11" ht="15" thickBot="1" x14ac:dyDescent="0.35">
      <c r="A85" s="26" t="s">
        <v>85</v>
      </c>
      <c r="B85" s="26" t="s">
        <v>86</v>
      </c>
      <c r="C85" s="26" t="s">
        <v>26</v>
      </c>
      <c r="D85" s="26" t="s">
        <v>52</v>
      </c>
      <c r="E85" s="26" t="s">
        <v>28</v>
      </c>
      <c r="F85" s="26"/>
      <c r="G85" s="24"/>
      <c r="H85" s="24"/>
      <c r="I85" s="24"/>
      <c r="J85" s="24"/>
      <c r="K85" s="24"/>
    </row>
    <row r="86" spans="1:11" ht="15" thickBot="1" x14ac:dyDescent="0.35">
      <c r="A86" s="50" t="s">
        <v>29</v>
      </c>
      <c r="B86" s="27" t="s">
        <v>30</v>
      </c>
      <c r="C86" s="28">
        <v>44942</v>
      </c>
      <c r="D86" s="50" t="s">
        <v>31</v>
      </c>
      <c r="E86" s="29" t="s">
        <v>32</v>
      </c>
      <c r="F86" s="30" t="s">
        <v>33</v>
      </c>
      <c r="G86" s="24"/>
      <c r="H86" s="24"/>
      <c r="I86" s="24"/>
      <c r="J86" s="24"/>
      <c r="K86" s="24"/>
    </row>
    <row r="87" spans="1:11" ht="15" thickBot="1" x14ac:dyDescent="0.35">
      <c r="A87" s="51"/>
      <c r="B87" s="27" t="s">
        <v>34</v>
      </c>
      <c r="C87" s="31">
        <f>IF(C86="","",IF(AND(MONTH(C86)&gt;=1,MONTH(C86)&lt;=3),1,IF(AND(MONTH(C86)&gt;=4,MONTH(C86)&lt;=6),2,IF(AND(MONTH(C86)&gt;=7,MONTH(C86)&lt;=9),3,4))))</f>
        <v>1</v>
      </c>
      <c r="D87" s="51"/>
      <c r="E87" s="29" t="s">
        <v>35</v>
      </c>
      <c r="F87" s="30" t="s">
        <v>36</v>
      </c>
      <c r="G87" s="24"/>
      <c r="H87" s="24"/>
      <c r="I87" s="24"/>
      <c r="J87" s="24"/>
      <c r="K87" s="24"/>
    </row>
    <row r="88" spans="1:11" ht="15" thickBot="1" x14ac:dyDescent="0.35">
      <c r="A88" s="51"/>
      <c r="B88" s="27" t="s">
        <v>37</v>
      </c>
      <c r="C88" s="28">
        <v>45016</v>
      </c>
      <c r="D88" s="51"/>
      <c r="E88" s="29" t="s">
        <v>38</v>
      </c>
      <c r="F88" s="30" t="s">
        <v>39</v>
      </c>
      <c r="G88" s="24"/>
      <c r="H88" s="24"/>
      <c r="I88" s="24"/>
      <c r="J88" s="24"/>
      <c r="K88" s="24"/>
    </row>
    <row r="89" spans="1:11" ht="15" thickBot="1" x14ac:dyDescent="0.35">
      <c r="A89" s="51"/>
      <c r="B89" s="27" t="s">
        <v>34</v>
      </c>
      <c r="C89" s="31">
        <f>IF(C88="","",IF(AND(MONTH(C88)&gt;=1,MONTH(C88)&lt;=3),1,IF(AND(MONTH(C88)&gt;=4,MONTH(C88)&lt;=6),2,IF(AND(MONTH(C88)&gt;=7,MONTH(C88)&lt;=9),3,4))))</f>
        <v>1</v>
      </c>
      <c r="D89" s="51"/>
      <c r="E89" s="29" t="s">
        <v>40</v>
      </c>
      <c r="F89" s="30" t="s">
        <v>39</v>
      </c>
      <c r="G89" s="24"/>
      <c r="H89" s="24"/>
      <c r="I89" s="24"/>
      <c r="J89" s="24"/>
      <c r="K89" s="24"/>
    </row>
    <row r="90" spans="1:11" ht="15" thickBot="1" x14ac:dyDescent="0.3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ht="15" thickBot="1" x14ac:dyDescent="0.35">
      <c r="A91" s="32" t="s">
        <v>41</v>
      </c>
      <c r="B91" s="32" t="s">
        <v>42</v>
      </c>
      <c r="C91" s="32" t="s">
        <v>43</v>
      </c>
      <c r="D91" s="32" t="s">
        <v>44</v>
      </c>
      <c r="E91" s="32" t="s">
        <v>45</v>
      </c>
      <c r="F91" s="32" t="s">
        <v>46</v>
      </c>
      <c r="G91" s="24"/>
      <c r="H91" s="24"/>
      <c r="I91" s="24"/>
      <c r="J91" s="24"/>
      <c r="K91" s="24"/>
    </row>
    <row r="92" spans="1:11" x14ac:dyDescent="0.3">
      <c r="A92" s="33" t="s">
        <v>87</v>
      </c>
      <c r="B92" s="34" t="str">
        <f ca="1">IFERROR(INDEX(UNSPSCDes,MATCH(INDIRECT(ADDRESS(ROW(),COLUMN()-1,4)),UNSPSCCode,0)),IF(INDIRECT(ADDRESS(ROW(),COLUMN()-1,4))="27112120","Grapas c",""))</f>
        <v>Grapas c</v>
      </c>
      <c r="C92" s="35" t="str">
        <f>IFERROR(VLOOKUP("CAJ",'[1]Informacion '!P:Q,2,FALSE),"")</f>
        <v>Caja</v>
      </c>
      <c r="D92" s="33">
        <v>250</v>
      </c>
      <c r="E92" s="36">
        <v>50</v>
      </c>
      <c r="F92" s="37">
        <f t="shared" ref="F92:F114" ca="1" si="2">INDIRECT(ADDRESS(ROW(),COLUMN()-2,4))*INDIRECT(ADDRESS(ROW(),COLUMN()-1,4))</f>
        <v>12500</v>
      </c>
      <c r="G92" s="24"/>
      <c r="H92" s="24"/>
      <c r="I92" s="24"/>
      <c r="J92" s="24"/>
      <c r="K92" s="24"/>
    </row>
    <row r="93" spans="1:11" x14ac:dyDescent="0.3">
      <c r="A93" s="33" t="s">
        <v>88</v>
      </c>
      <c r="B93" s="34" t="str">
        <f ca="1">IFERROR(INDEX(UNSPSCDes,MATCH(INDIRECT(ADDRESS(ROW(),COLUMN()-1,4)),UNSPSCCode,0)),IF(INDIRECT(ADDRESS(ROW(),COLUMN()-1,4))="11101506","Tiza",""))</f>
        <v>Tiza</v>
      </c>
      <c r="C93" s="35" t="str">
        <f>IFERROR(VLOOKUP("CAJ",'[1]Informacion '!P:Q,2,FALSE),"")</f>
        <v>Caja</v>
      </c>
      <c r="D93" s="33">
        <v>50</v>
      </c>
      <c r="E93" s="36">
        <v>40</v>
      </c>
      <c r="F93" s="37">
        <f t="shared" ca="1" si="2"/>
        <v>2000</v>
      </c>
      <c r="G93" s="24"/>
      <c r="H93" s="24"/>
      <c r="I93" s="24"/>
      <c r="J93" s="24"/>
      <c r="K93" s="24"/>
    </row>
    <row r="94" spans="1:11" x14ac:dyDescent="0.3">
      <c r="A94" s="33" t="s">
        <v>89</v>
      </c>
      <c r="B94" s="34" t="str">
        <f ca="1">IFERROR(INDEX(UNSPSCDes,MATCH(INDIRECT(ADDRESS(ROW(),COLUMN()-1,4)),UNSPSCCode,0)),IF(INDIRECT(ADDRESS(ROW(),COLUMN()-1,4))="12171703","Tintas",""))</f>
        <v>Tintas</v>
      </c>
      <c r="C94" s="35" t="str">
        <f>IFERROR(VLOOKUP("UD",'[1]Informacion '!P:Q,2,FALSE),"")</f>
        <v>Unidad</v>
      </c>
      <c r="D94" s="33">
        <v>100</v>
      </c>
      <c r="E94" s="36">
        <v>30</v>
      </c>
      <c r="F94" s="37">
        <f t="shared" ca="1" si="2"/>
        <v>3000</v>
      </c>
      <c r="G94" s="24"/>
      <c r="H94" s="24"/>
      <c r="I94" s="24"/>
      <c r="J94" s="24"/>
      <c r="K94" s="24"/>
    </row>
    <row r="95" spans="1:11" x14ac:dyDescent="0.3">
      <c r="A95" s="33" t="s">
        <v>90</v>
      </c>
      <c r="B95" s="34" t="str">
        <f ca="1">IFERROR(INDEX(UNSPSCDes,MATCH(INDIRECT(ADDRESS(ROW(),COLUMN()-1,4)),UNSPSCCode,0)),IF(INDIRECT(ADDRESS(ROW(),COLUMN()-1,4))="43232503","Correctores de ortografía",""))</f>
        <v>Correctores de ortografía</v>
      </c>
      <c r="C95" s="35" t="str">
        <f>IFERROR(VLOOKUP("UD",'[1]Informacion '!P:Q,2,FALSE),"")</f>
        <v>Unidad</v>
      </c>
      <c r="D95" s="33">
        <v>50</v>
      </c>
      <c r="E95" s="36">
        <v>25</v>
      </c>
      <c r="F95" s="37">
        <f t="shared" ca="1" si="2"/>
        <v>1250</v>
      </c>
      <c r="G95" s="24"/>
      <c r="H95" s="24"/>
      <c r="I95" s="24"/>
      <c r="J95" s="24"/>
      <c r="K95" s="24"/>
    </row>
    <row r="96" spans="1:11" x14ac:dyDescent="0.3">
      <c r="A96" s="33" t="s">
        <v>91</v>
      </c>
      <c r="B96" s="34" t="str">
        <f ca="1">IFERROR(INDEX(UNSPSCDes,MATCH(INDIRECT(ADDRESS(ROW(),COLUMN()-1,4)),UNSPSCCode,0)),IF(INDIRECT(ADDRESS(ROW(),COLUMN()-1,4))="44121706","Lápices de madera",""))</f>
        <v>Lápices de madera</v>
      </c>
      <c r="C96" s="35" t="str">
        <f>IFERROR(VLOOKUP("UD",'[1]Informacion '!P:Q,2,FALSE),"")</f>
        <v>Unidad</v>
      </c>
      <c r="D96" s="33">
        <v>125</v>
      </c>
      <c r="E96" s="36">
        <v>15</v>
      </c>
      <c r="F96" s="37">
        <f t="shared" ca="1" si="2"/>
        <v>1875</v>
      </c>
      <c r="G96" s="24"/>
      <c r="H96" s="24"/>
      <c r="I96" s="24"/>
      <c r="J96" s="24"/>
      <c r="K96" s="24"/>
    </row>
    <row r="97" spans="1:11" x14ac:dyDescent="0.3">
      <c r="A97" s="33" t="s">
        <v>92</v>
      </c>
      <c r="B97" s="34" t="str">
        <f ca="1">IFERROR(INDEX(UNSPSCDes,MATCH(INDIRECT(ADDRESS(ROW(),COLUMN()-1,4)),UNSPSCCode,0)),IF(INDIRECT(ADDRESS(ROW(),COLUMN()-1,4))="44121701","Bolígrafos",""))</f>
        <v>Bolígrafos</v>
      </c>
      <c r="C97" s="35" t="str">
        <f>IFERROR(VLOOKUP("CAJ",'[1]Informacion '!P:Q,2,FALSE),"")</f>
        <v>Caja</v>
      </c>
      <c r="D97" s="33">
        <v>125</v>
      </c>
      <c r="E97" s="36">
        <v>100</v>
      </c>
      <c r="F97" s="37">
        <f t="shared" ca="1" si="2"/>
        <v>12500</v>
      </c>
      <c r="G97" s="24"/>
      <c r="H97" s="24"/>
      <c r="I97" s="24"/>
      <c r="J97" s="24"/>
      <c r="K97" s="24"/>
    </row>
    <row r="98" spans="1:11" x14ac:dyDescent="0.3">
      <c r="A98" s="33" t="s">
        <v>93</v>
      </c>
      <c r="B98" s="34" t="str">
        <f ca="1">IFERROR(INDEX(UNSPSCDes,MATCH(INDIRECT(ADDRESS(ROW(),COLUMN()-1,4)),UNSPSCCode,0)),IF(INDIRECT(ADDRESS(ROW(),COLUMN()-1,4))="44121716","Resaltadores",""))</f>
        <v>Resaltadores</v>
      </c>
      <c r="C98" s="35" t="str">
        <f>IFERROR(VLOOKUP("UD",'[1]Informacion '!P:Q,2,FALSE),"")</f>
        <v>Unidad</v>
      </c>
      <c r="D98" s="33">
        <v>400</v>
      </c>
      <c r="E98" s="36">
        <v>14</v>
      </c>
      <c r="F98" s="37">
        <f t="shared" ca="1" si="2"/>
        <v>5600</v>
      </c>
      <c r="G98" s="24"/>
      <c r="H98" s="24"/>
      <c r="I98" s="24"/>
      <c r="J98" s="24"/>
      <c r="K98" s="24"/>
    </row>
    <row r="99" spans="1:11" x14ac:dyDescent="0.3">
      <c r="A99" s="33" t="s">
        <v>94</v>
      </c>
      <c r="B99" s="34" t="str">
        <f ca="1">IFERROR(INDEX(UNSPSCDes,MATCH(INDIRECT(ADDRESS(ROW(),COLUMN()-1,4)),UNSPSCCode,0)),IF(INDIRECT(ADDRESS(ROW(),COLUMN()-1,4))="44122010","Separadores",""))</f>
        <v>Separadores</v>
      </c>
      <c r="C99" s="35" t="str">
        <f>IFERROR(VLOOKUP("UD",'[1]Informacion '!P:Q,2,FALSE),"")</f>
        <v>Unidad</v>
      </c>
      <c r="D99" s="33">
        <v>100</v>
      </c>
      <c r="E99" s="36">
        <v>160</v>
      </c>
      <c r="F99" s="37">
        <f t="shared" ca="1" si="2"/>
        <v>16000</v>
      </c>
      <c r="G99" s="24"/>
      <c r="H99" s="24"/>
      <c r="I99" s="24"/>
      <c r="J99" s="24"/>
      <c r="K99" s="24"/>
    </row>
    <row r="100" spans="1:11" x14ac:dyDescent="0.3">
      <c r="A100" s="33" t="s">
        <v>95</v>
      </c>
      <c r="B100" s="34" t="str">
        <f ca="1">IFERROR(INDEX(UNSPSCDes,MATCH(INDIRECT(ADDRESS(ROW(),COLUMN()-1,4)),UNSPSCCode,0)),IF(INDIRECT(ADDRESS(ROW(),COLUMN()-1,4))="44122011","Folders",""))</f>
        <v>Folders</v>
      </c>
      <c r="C100" s="35" t="str">
        <f>IFERROR(VLOOKUP("UD",'[1]Informacion '!P:Q,2,FALSE),"")</f>
        <v>Unidad</v>
      </c>
      <c r="D100" s="33">
        <v>50</v>
      </c>
      <c r="E100" s="36">
        <v>1100</v>
      </c>
      <c r="F100" s="37">
        <f t="shared" ca="1" si="2"/>
        <v>55000</v>
      </c>
      <c r="G100" s="24"/>
      <c r="H100" s="24"/>
      <c r="I100" s="24"/>
      <c r="J100" s="24"/>
      <c r="K100" s="24"/>
    </row>
    <row r="101" spans="1:11" x14ac:dyDescent="0.3">
      <c r="A101" s="33" t="s">
        <v>96</v>
      </c>
      <c r="B101" s="34" t="str">
        <f ca="1">IFERROR(INDEX(UNSPSCDes,MATCH(INDIRECT(ADDRESS(ROW(),COLUMN()-1,4)),UNSPSCCode,0)),IF(INDIRECT(ADDRESS(ROW(),COLUMN()-1,4))="44122016","Sujetador de documentos",""))</f>
        <v>Sujetador de documentos</v>
      </c>
      <c r="C101" s="35" t="str">
        <f>IFERROR(VLOOKUP("CAJ",'[1]Informacion '!P:Q,2,FALSE),"")</f>
        <v>Caja</v>
      </c>
      <c r="D101" s="33">
        <v>50</v>
      </c>
      <c r="E101" s="36">
        <v>200</v>
      </c>
      <c r="F101" s="37">
        <f t="shared" ca="1" si="2"/>
        <v>10000</v>
      </c>
      <c r="G101" s="24"/>
      <c r="H101" s="24"/>
      <c r="I101" s="24"/>
      <c r="J101" s="24"/>
      <c r="K101" s="24"/>
    </row>
    <row r="102" spans="1:11" x14ac:dyDescent="0.3">
      <c r="A102" s="33" t="s">
        <v>97</v>
      </c>
      <c r="B102" s="34" t="str">
        <f ca="1">IFERROR(INDEX(UNSPSCDes,MATCH(INDIRECT(ADDRESS(ROW(),COLUMN()-1,4)),UNSPSCCode,0)),IF(INDIRECT(ADDRESS(ROW(),COLUMN()-1,4))="44122104","Clips para papel",""))</f>
        <v>Clips para papel</v>
      </c>
      <c r="C102" s="35" t="str">
        <f>IFERROR(VLOOKUP("CAJ",'[1]Informacion '!P:Q,2,FALSE),"")</f>
        <v>Caja</v>
      </c>
      <c r="D102" s="33">
        <v>250</v>
      </c>
      <c r="E102" s="36">
        <v>150</v>
      </c>
      <c r="F102" s="37">
        <f t="shared" ca="1" si="2"/>
        <v>37500</v>
      </c>
      <c r="G102" s="24"/>
      <c r="H102" s="24"/>
      <c r="I102" s="24"/>
      <c r="J102" s="24"/>
      <c r="K102" s="24"/>
    </row>
    <row r="103" spans="1:11" x14ac:dyDescent="0.3">
      <c r="A103" s="33" t="s">
        <v>98</v>
      </c>
      <c r="B103" s="34" t="str">
        <f ca="1">IFERROR(INDEX(UNSPSCDes,MATCH(INDIRECT(ADDRESS(ROW(),COLUMN()-1,4)),UNSPSCCode,0)),IF(INDIRECT(ADDRESS(ROW(),COLUMN()-1,4))="44121615","Grapadoras",""))</f>
        <v>Grapadoras</v>
      </c>
      <c r="C103" s="35" t="str">
        <f>IFERROR(VLOOKUP("CAJ",'[1]Informacion '!P:Q,2,FALSE),"")</f>
        <v>Caja</v>
      </c>
      <c r="D103" s="33">
        <v>250</v>
      </c>
      <c r="E103" s="36">
        <v>300</v>
      </c>
      <c r="F103" s="37">
        <f t="shared" ca="1" si="2"/>
        <v>75000</v>
      </c>
      <c r="G103" s="24"/>
      <c r="H103" s="24"/>
      <c r="I103" s="24"/>
      <c r="J103" s="24"/>
      <c r="K103" s="24"/>
    </row>
    <row r="104" spans="1:11" x14ac:dyDescent="0.3">
      <c r="A104" s="33" t="s">
        <v>99</v>
      </c>
      <c r="B104" s="34" t="str">
        <f ca="1">IFERROR(INDEX(UNSPSCDes,MATCH(INDIRECT(ADDRESS(ROW(),COLUMN()-1,4)),UNSPSCCode,0)),IF(INDIRECT(ADDRESS(ROW(),COLUMN()-1,4))="44121605","Dispensadores de cinta",""))</f>
        <v>Dispensadores de cinta</v>
      </c>
      <c r="C104" s="35" t="str">
        <f>IFERROR(VLOOKUP("CAJ",'[1]Informacion '!P:Q,2,FALSE),"")</f>
        <v>Caja</v>
      </c>
      <c r="D104" s="33">
        <v>200</v>
      </c>
      <c r="E104" s="36">
        <v>100</v>
      </c>
      <c r="F104" s="37">
        <f t="shared" ca="1" si="2"/>
        <v>20000</v>
      </c>
      <c r="G104" s="24"/>
      <c r="H104" s="24"/>
      <c r="I104" s="24"/>
      <c r="J104" s="24"/>
      <c r="K104" s="24"/>
    </row>
    <row r="105" spans="1:11" x14ac:dyDescent="0.3">
      <c r="A105" s="33" t="s">
        <v>100</v>
      </c>
      <c r="B105" s="3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5" s="35" t="str">
        <f>IFERROR(VLOOKUP("UD",'[1]Informacion '!P:Q,2,FALSE),"")</f>
        <v>Unidad</v>
      </c>
      <c r="D105" s="33">
        <v>50</v>
      </c>
      <c r="E105" s="36">
        <v>30</v>
      </c>
      <c r="F105" s="37">
        <f t="shared" ca="1" si="2"/>
        <v>1500</v>
      </c>
      <c r="G105" s="24"/>
      <c r="H105" s="24"/>
      <c r="I105" s="24"/>
      <c r="J105" s="24"/>
      <c r="K105" s="24"/>
    </row>
    <row r="106" spans="1:11" x14ac:dyDescent="0.3">
      <c r="A106" s="33" t="s">
        <v>101</v>
      </c>
      <c r="B106" s="34" t="str">
        <f ca="1">IFERROR(INDEX(UNSPSCDes,MATCH(INDIRECT(ADDRESS(ROW(),COLUMN()-1,4)),UNSPSCCode,0)),IF(INDIRECT(ADDRESS(ROW(),COLUMN()-1,4))="44111611","Clips para billetes",""))</f>
        <v>Clips para billetes</v>
      </c>
      <c r="C106" s="35" t="str">
        <f>IFERROR(VLOOKUP("UD",'[1]Informacion '!P:Q,2,FALSE),"")</f>
        <v>Unidad</v>
      </c>
      <c r="D106" s="33">
        <v>200</v>
      </c>
      <c r="E106" s="36">
        <v>50</v>
      </c>
      <c r="F106" s="37">
        <f t="shared" ca="1" si="2"/>
        <v>10000</v>
      </c>
      <c r="G106" s="24"/>
      <c r="H106" s="24"/>
      <c r="I106" s="24"/>
      <c r="J106" s="24"/>
      <c r="K106" s="24"/>
    </row>
    <row r="107" spans="1:11" x14ac:dyDescent="0.3">
      <c r="A107" s="33" t="s">
        <v>102</v>
      </c>
      <c r="B107" s="34" t="str">
        <f ca="1">IFERROR(INDEX(UNSPSCDes,MATCH(INDIRECT(ADDRESS(ROW(),COLUMN()-1,4)),UNSPSCCode,0)),IF(INDIRECT(ADDRESS(ROW(),COLUMN()-1,4))="44121708","Marcadores",""))</f>
        <v>Marcadores</v>
      </c>
      <c r="C107" s="35" t="str">
        <f>IFERROR(VLOOKUP("CAJ",'[1]Informacion '!P:Q,2,FALSE),"")</f>
        <v>Caja</v>
      </c>
      <c r="D107" s="33">
        <v>200</v>
      </c>
      <c r="E107" s="36">
        <v>120</v>
      </c>
      <c r="F107" s="37">
        <f t="shared" ca="1" si="2"/>
        <v>24000</v>
      </c>
      <c r="G107" s="24"/>
      <c r="H107" s="24"/>
      <c r="I107" s="24"/>
      <c r="J107" s="24"/>
      <c r="K107" s="24"/>
    </row>
    <row r="108" spans="1:11" x14ac:dyDescent="0.3">
      <c r="A108" s="33" t="s">
        <v>103</v>
      </c>
      <c r="B108" s="34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08" s="35" t="str">
        <f>IFERROR(VLOOKUP("CAJ",'[1]Informacion '!P:Q,2,FALSE),"")</f>
        <v>Caja</v>
      </c>
      <c r="D108" s="33">
        <v>80</v>
      </c>
      <c r="E108" s="36">
        <v>20</v>
      </c>
      <c r="F108" s="37">
        <f t="shared" ca="1" si="2"/>
        <v>1600</v>
      </c>
      <c r="G108" s="24"/>
      <c r="H108" s="24"/>
      <c r="I108" s="24"/>
      <c r="J108" s="24"/>
      <c r="K108" s="24"/>
    </row>
    <row r="109" spans="1:11" x14ac:dyDescent="0.3">
      <c r="A109" s="33" t="s">
        <v>104</v>
      </c>
      <c r="B109" s="34" t="str">
        <f ca="1">IFERROR(INDEX(UNSPSCDes,MATCH(INDIRECT(ADDRESS(ROW(),COLUMN()-1,4)),UNSPSCCode,0)),IF(INDIRECT(ADDRESS(ROW(),COLUMN()-1,4))="14111504","Papel en formas continuas",""))</f>
        <v>Papel en formas continuas</v>
      </c>
      <c r="C109" s="35" t="str">
        <f>IFERROR(VLOOKUP("UD",'[1]Informacion '!P:Q,2,FALSE),"")</f>
        <v>Unidad</v>
      </c>
      <c r="D109" s="33">
        <v>25</v>
      </c>
      <c r="E109" s="36">
        <v>1000</v>
      </c>
      <c r="F109" s="37">
        <f t="shared" ca="1" si="2"/>
        <v>25000</v>
      </c>
      <c r="G109" s="24"/>
      <c r="H109" s="24"/>
      <c r="I109" s="24"/>
      <c r="J109" s="24"/>
      <c r="K109" s="24"/>
    </row>
    <row r="110" spans="1:11" x14ac:dyDescent="0.3">
      <c r="A110" s="33" t="s">
        <v>105</v>
      </c>
      <c r="B110" s="34" t="str">
        <f ca="1">IFERROR(INDEX(UNSPSCDes,MATCH(INDIRECT(ADDRESS(ROW(),COLUMN()-1,4)),UNSPSCCode,0)),IF(INDIRECT(ADDRESS(ROW(),COLUMN()-1,4))="14111511","Papel de escritura",""))</f>
        <v>Papel de escritura</v>
      </c>
      <c r="C110" s="35" t="str">
        <f>IFERROR(VLOOKUP("RESMA",'[1]Informacion '!P:Q,2,FALSE),"")</f>
        <v>Resma</v>
      </c>
      <c r="D110" s="33">
        <v>1200</v>
      </c>
      <c r="E110" s="36">
        <v>900</v>
      </c>
      <c r="F110" s="37">
        <f t="shared" ca="1" si="2"/>
        <v>1080000</v>
      </c>
      <c r="G110" s="24"/>
      <c r="H110" s="24"/>
      <c r="I110" s="24"/>
      <c r="J110" s="24"/>
      <c r="K110" s="24"/>
    </row>
    <row r="111" spans="1:11" x14ac:dyDescent="0.3">
      <c r="A111" s="33" t="s">
        <v>106</v>
      </c>
      <c r="B111" s="34" t="str">
        <f ca="1">IFERROR(INDEX(UNSPSCDes,MATCH(INDIRECT(ADDRESS(ROW(),COLUMN()-1,4)),UNSPSCCode,0)),IF(INDIRECT(ADDRESS(ROW(),COLUMN()-1,4))="44121618","Tijeras",""))</f>
        <v>Tijeras</v>
      </c>
      <c r="C111" s="35" t="str">
        <f>IFERROR(VLOOKUP("UD",'[1]Informacion '!P:Q,2,FALSE),"")</f>
        <v>Unidad</v>
      </c>
      <c r="D111" s="33">
        <v>50</v>
      </c>
      <c r="E111" s="36">
        <v>40</v>
      </c>
      <c r="F111" s="37">
        <f t="shared" ca="1" si="2"/>
        <v>2000</v>
      </c>
      <c r="G111" s="24"/>
      <c r="H111" s="24"/>
      <c r="I111" s="24"/>
      <c r="J111" s="24"/>
      <c r="K111" s="24"/>
    </row>
    <row r="112" spans="1:11" x14ac:dyDescent="0.3">
      <c r="A112" s="33" t="s">
        <v>107</v>
      </c>
      <c r="B112" s="34" t="str">
        <f ca="1">IFERROR(INDEX(UNSPSCDes,MATCH(INDIRECT(ADDRESS(ROW(),COLUMN()-1,4)),UNSPSCCode,0)),IF(INDIRECT(ADDRESS(ROW(),COLUMN()-1,4))="60101903","Cintas adhesivas de escritorio con el alfabeto",""))</f>
        <v>Cintas adhesivas de escritorio con el alfabeto</v>
      </c>
      <c r="C112" s="35" t="str">
        <f>IFERROR(VLOOKUP("UD",'[1]Informacion '!P:Q,2,FALSE),"")</f>
        <v>Unidad</v>
      </c>
      <c r="D112" s="33">
        <v>25</v>
      </c>
      <c r="E112" s="36">
        <v>80</v>
      </c>
      <c r="F112" s="37">
        <f t="shared" ca="1" si="2"/>
        <v>2000</v>
      </c>
      <c r="G112" s="24"/>
      <c r="H112" s="24"/>
      <c r="I112" s="24"/>
      <c r="J112" s="24"/>
      <c r="K112" s="24"/>
    </row>
    <row r="113" spans="1:11" x14ac:dyDescent="0.3">
      <c r="A113" s="33" t="s">
        <v>108</v>
      </c>
      <c r="B113" s="34" t="str">
        <f ca="1">IFERROR(INDEX(UNSPSCDes,MATCH(INDIRECT(ADDRESS(ROW(),COLUMN()-1,4)),UNSPSCCode,0)),IF(INDIRECT(ADDRESS(ROW(),COLUMN()-1,4))="44103103","Tóner para impresoras o fax",""))</f>
        <v>Tóner para impresoras o fax</v>
      </c>
      <c r="C113" s="35" t="str">
        <f>IFERROR(VLOOKUP("UD",'[1]Informacion '!P:Q,2,FALSE),"")</f>
        <v>Unidad</v>
      </c>
      <c r="D113" s="33">
        <v>25</v>
      </c>
      <c r="E113" s="36">
        <v>2500</v>
      </c>
      <c r="F113" s="37">
        <f t="shared" ca="1" si="2"/>
        <v>62500</v>
      </c>
      <c r="G113" s="24"/>
      <c r="H113" s="24"/>
      <c r="I113" s="24"/>
      <c r="J113" s="24"/>
      <c r="K113" s="24"/>
    </row>
    <row r="114" spans="1:11" x14ac:dyDescent="0.3">
      <c r="A114" s="33" t="s">
        <v>109</v>
      </c>
      <c r="B114" s="34" t="str">
        <f ca="1">IFERROR(INDEX(UNSPSCDes,MATCH(INDIRECT(ADDRESS(ROW(),COLUMN()-1,4)),UNSPSCCode,0)),IF(INDIRECT(ADDRESS(ROW(),COLUMN()-1,4))="44121503","Sobres",""))</f>
        <v>Sobres</v>
      </c>
      <c r="C114" s="35" t="str">
        <f>IFERROR(VLOOKUP("CAJ",'[1]Informacion '!P:Q,2,FALSE),"")</f>
        <v>Caja</v>
      </c>
      <c r="D114" s="33">
        <v>50</v>
      </c>
      <c r="E114" s="36">
        <v>600</v>
      </c>
      <c r="F114" s="37">
        <f t="shared" ca="1" si="2"/>
        <v>30000</v>
      </c>
      <c r="G114" s="24"/>
      <c r="H114" s="24"/>
      <c r="I114" s="24"/>
      <c r="J114" s="24"/>
      <c r="K114" s="24"/>
    </row>
    <row r="115" spans="1:11" x14ac:dyDescent="0.3">
      <c r="A115" s="24"/>
      <c r="B115" s="24"/>
      <c r="C115" s="24"/>
      <c r="D115" s="24"/>
      <c r="E115" s="38" t="s">
        <v>49</v>
      </c>
      <c r="F115" s="39">
        <f ca="1">SUM(Table8[MONTO TOTAL ESTIMADO])</f>
        <v>1490825</v>
      </c>
      <c r="G115" s="24"/>
      <c r="H115" s="24" t="str">
        <f>C85</f>
        <v>Bienes</v>
      </c>
      <c r="I115" s="24" t="str">
        <f>E85</f>
        <v>No</v>
      </c>
      <c r="J115" s="24" t="str">
        <f>D85</f>
        <v>Compras Menores</v>
      </c>
      <c r="K115" s="24"/>
    </row>
    <row r="116" spans="1:11" ht="15" thickBot="1" x14ac:dyDescent="0.3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ht="21" thickBot="1" x14ac:dyDescent="0.35">
      <c r="A117" s="25" t="s">
        <v>18</v>
      </c>
      <c r="B117" s="25" t="s">
        <v>19</v>
      </c>
      <c r="C117" s="25" t="s">
        <v>20</v>
      </c>
      <c r="D117" s="25" t="s">
        <v>21</v>
      </c>
      <c r="E117" s="25" t="s">
        <v>22</v>
      </c>
      <c r="F117" s="25" t="s">
        <v>23</v>
      </c>
      <c r="G117" s="24"/>
      <c r="H117" s="24"/>
      <c r="I117" s="24"/>
      <c r="J117" s="24"/>
      <c r="K117" s="24"/>
    </row>
    <row r="118" spans="1:11" ht="15" thickBot="1" x14ac:dyDescent="0.35">
      <c r="A118" s="26" t="s">
        <v>110</v>
      </c>
      <c r="B118" s="26" t="s">
        <v>65</v>
      </c>
      <c r="C118" s="26" t="s">
        <v>26</v>
      </c>
      <c r="D118" s="26" t="s">
        <v>52</v>
      </c>
      <c r="E118" s="26" t="s">
        <v>28</v>
      </c>
      <c r="F118" s="26"/>
      <c r="G118" s="24"/>
      <c r="H118" s="24"/>
      <c r="I118" s="24"/>
      <c r="J118" s="24"/>
      <c r="K118" s="24"/>
    </row>
    <row r="119" spans="1:11" ht="15" thickBot="1" x14ac:dyDescent="0.35">
      <c r="A119" s="50" t="s">
        <v>29</v>
      </c>
      <c r="B119" s="27" t="s">
        <v>30</v>
      </c>
      <c r="C119" s="28">
        <v>45170</v>
      </c>
      <c r="D119" s="50" t="s">
        <v>31</v>
      </c>
      <c r="E119" s="29" t="s">
        <v>32</v>
      </c>
      <c r="F119" s="30" t="s">
        <v>33</v>
      </c>
      <c r="G119" s="24"/>
      <c r="H119" s="24"/>
      <c r="I119" s="24"/>
      <c r="J119" s="24"/>
      <c r="K119" s="24"/>
    </row>
    <row r="120" spans="1:11" ht="15" thickBot="1" x14ac:dyDescent="0.35">
      <c r="A120" s="51"/>
      <c r="B120" s="27" t="s">
        <v>34</v>
      </c>
      <c r="C120" s="31">
        <f>IF(C119="","",IF(AND(MONTH(C119)&gt;=1,MONTH(C119)&lt;=3),1,IF(AND(MONTH(C119)&gt;=4,MONTH(C119)&lt;=6),2,IF(AND(MONTH(C119)&gt;=7,MONTH(C119)&lt;=9),3,4))))</f>
        <v>3</v>
      </c>
      <c r="D120" s="51"/>
      <c r="E120" s="29" t="s">
        <v>35</v>
      </c>
      <c r="F120" s="30" t="s">
        <v>36</v>
      </c>
      <c r="G120" s="24"/>
      <c r="H120" s="24"/>
      <c r="I120" s="24"/>
      <c r="J120" s="24"/>
      <c r="K120" s="24"/>
    </row>
    <row r="121" spans="1:11" ht="15" thickBot="1" x14ac:dyDescent="0.35">
      <c r="A121" s="51"/>
      <c r="B121" s="27" t="s">
        <v>37</v>
      </c>
      <c r="C121" s="28">
        <v>45289</v>
      </c>
      <c r="D121" s="51"/>
      <c r="E121" s="29" t="s">
        <v>38</v>
      </c>
      <c r="F121" s="30" t="s">
        <v>39</v>
      </c>
      <c r="G121" s="24"/>
      <c r="H121" s="24"/>
      <c r="I121" s="24"/>
      <c r="J121" s="24"/>
      <c r="K121" s="24"/>
    </row>
    <row r="122" spans="1:11" ht="15" thickBot="1" x14ac:dyDescent="0.35">
      <c r="A122" s="51"/>
      <c r="B122" s="27" t="s">
        <v>34</v>
      </c>
      <c r="C122" s="31">
        <f>IF(C121="","",IF(AND(MONTH(C121)&gt;=1,MONTH(C121)&lt;=3),1,IF(AND(MONTH(C121)&gt;=4,MONTH(C121)&lt;=6),2,IF(AND(MONTH(C121)&gt;=7,MONTH(C121)&lt;=9),3,4))))</f>
        <v>4</v>
      </c>
      <c r="D122" s="51"/>
      <c r="E122" s="29" t="s">
        <v>40</v>
      </c>
      <c r="F122" s="30" t="s">
        <v>39</v>
      </c>
      <c r="G122" s="24"/>
      <c r="H122" s="24"/>
      <c r="I122" s="24"/>
      <c r="J122" s="24"/>
      <c r="K122" s="24"/>
    </row>
    <row r="123" spans="1:11" ht="15" thickBot="1" x14ac:dyDescent="0.3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ht="15" thickBot="1" x14ac:dyDescent="0.35">
      <c r="A124" s="32" t="s">
        <v>41</v>
      </c>
      <c r="B124" s="32" t="s">
        <v>42</v>
      </c>
      <c r="C124" s="32" t="s">
        <v>43</v>
      </c>
      <c r="D124" s="32" t="s">
        <v>44</v>
      </c>
      <c r="E124" s="32" t="s">
        <v>45</v>
      </c>
      <c r="F124" s="32" t="s">
        <v>46</v>
      </c>
      <c r="G124" s="24"/>
      <c r="H124" s="24"/>
      <c r="I124" s="24"/>
      <c r="J124" s="24"/>
      <c r="K124" s="24"/>
    </row>
    <row r="125" spans="1:11" x14ac:dyDescent="0.3">
      <c r="A125" s="33" t="s">
        <v>111</v>
      </c>
      <c r="B125" s="34" t="str">
        <f ca="1">IFERROR(INDEX(UNSPSCDes,MATCH(INDIRECT(ADDRESS(ROW(),COLUMN()-1,4)),UNSPSCCode,0)),IF(INDIRECT(ADDRESS(ROW(),COLUMN()-1,4))="43211507","Computadores de escritorio",""))</f>
        <v>Computadores de escritorio</v>
      </c>
      <c r="C125" s="35" t="str">
        <f>IFERROR(VLOOKUP("UD",'[1]Informacion '!P:Q,2,FALSE),"")</f>
        <v>Unidad</v>
      </c>
      <c r="D125" s="33">
        <v>4</v>
      </c>
      <c r="E125" s="36">
        <v>38000</v>
      </c>
      <c r="F125" s="37">
        <f t="shared" ref="F125:F132" ca="1" si="3">INDIRECT(ADDRESS(ROW(),COLUMN()-2,4))*INDIRECT(ADDRESS(ROW(),COLUMN()-1,4))</f>
        <v>152000</v>
      </c>
      <c r="G125" s="24"/>
      <c r="H125" s="24"/>
      <c r="I125" s="24"/>
      <c r="J125" s="24"/>
      <c r="K125" s="24"/>
    </row>
    <row r="126" spans="1:11" x14ac:dyDescent="0.3">
      <c r="A126" s="33" t="s">
        <v>112</v>
      </c>
      <c r="B126" s="34" t="str">
        <f ca="1">IFERROR(INDEX(UNSPSCDes,MATCH(INDIRECT(ADDRESS(ROW(),COLUMN()-1,4)),UNSPSCCode,0)),IF(INDIRECT(ADDRESS(ROW(),COLUMN()-1,4))="43211508","Computadores personales",""))</f>
        <v>Computadores personales</v>
      </c>
      <c r="C126" s="35" t="str">
        <f>IFERROR(VLOOKUP("UD",'[1]Informacion '!P:Q,2,FALSE),"")</f>
        <v>Unidad</v>
      </c>
      <c r="D126" s="33">
        <v>1</v>
      </c>
      <c r="E126" s="36">
        <v>70000</v>
      </c>
      <c r="F126" s="37">
        <f t="shared" ca="1" si="3"/>
        <v>70000</v>
      </c>
      <c r="G126" s="24"/>
      <c r="H126" s="24"/>
      <c r="I126" s="24"/>
      <c r="J126" s="24"/>
      <c r="K126" s="24"/>
    </row>
    <row r="127" spans="1:11" x14ac:dyDescent="0.3">
      <c r="A127" s="33" t="s">
        <v>113</v>
      </c>
      <c r="B127" s="34" t="str">
        <f ca="1">IFERROR(INDEX(UNSPSCDes,MATCH(INDIRECT(ADDRESS(ROW(),COLUMN()-1,4)),UNSPSCCode,0)),IF(INDIRECT(ADDRESS(ROW(),COLUMN()-1,4))="43211603","Replicadores de puertos",""))</f>
        <v>Replicadores de puertos</v>
      </c>
      <c r="C127" s="35" t="str">
        <f>IFERROR(VLOOKUP("UD",'[1]Informacion '!P:Q,2,FALSE),"")</f>
        <v>Unidad</v>
      </c>
      <c r="D127" s="33">
        <v>1</v>
      </c>
      <c r="E127" s="36">
        <v>1500</v>
      </c>
      <c r="F127" s="37">
        <f t="shared" ca="1" si="3"/>
        <v>1500</v>
      </c>
      <c r="G127" s="24"/>
      <c r="H127" s="24"/>
      <c r="I127" s="24"/>
      <c r="J127" s="24"/>
      <c r="K127" s="24"/>
    </row>
    <row r="128" spans="1:11" x14ac:dyDescent="0.3">
      <c r="A128" s="33" t="s">
        <v>114</v>
      </c>
      <c r="B128" s="34" t="str">
        <f ca="1">IFERROR(INDEX(UNSPSCDes,MATCH(INDIRECT(ADDRESS(ROW(),COLUMN()-1,4)),UNSPSCCode,0)),IF(INDIRECT(ADDRESS(ROW(),COLUMN()-1,4))="43211706","Teclados",""))</f>
        <v>Teclados</v>
      </c>
      <c r="C128" s="35" t="str">
        <f>IFERROR(VLOOKUP("UD",'[1]Informacion '!P:Q,2,FALSE),"")</f>
        <v>Unidad</v>
      </c>
      <c r="D128" s="33">
        <v>5</v>
      </c>
      <c r="E128" s="36">
        <v>500</v>
      </c>
      <c r="F128" s="37">
        <f t="shared" ca="1" si="3"/>
        <v>2500</v>
      </c>
      <c r="G128" s="24"/>
      <c r="H128" s="24"/>
      <c r="I128" s="24"/>
      <c r="J128" s="24"/>
      <c r="K128" s="24"/>
    </row>
    <row r="129" spans="1:11" x14ac:dyDescent="0.3">
      <c r="A129" s="33" t="s">
        <v>115</v>
      </c>
      <c r="B129" s="34" t="str">
        <f ca="1">IFERROR(INDEX(UNSPSCDes,MATCH(INDIRECT(ADDRESS(ROW(),COLUMN()-1,4)),UNSPSCCode,0)),IF(INDIRECT(ADDRESS(ROW(),COLUMN()-1,4))="32101602","Memoria ram dinámica (dram)",""))</f>
        <v>Memoria ram dinámica (dram)</v>
      </c>
      <c r="C129" s="35" t="str">
        <f>IFERROR(VLOOKUP("UD",'[1]Informacion '!P:Q,2,FALSE),"")</f>
        <v>Unidad</v>
      </c>
      <c r="D129" s="33">
        <v>2</v>
      </c>
      <c r="E129" s="36">
        <v>5000</v>
      </c>
      <c r="F129" s="37">
        <f t="shared" ca="1" si="3"/>
        <v>10000</v>
      </c>
      <c r="G129" s="24"/>
      <c r="H129" s="24"/>
      <c r="I129" s="24"/>
      <c r="J129" s="24"/>
      <c r="K129" s="24"/>
    </row>
    <row r="130" spans="1:11" x14ac:dyDescent="0.3">
      <c r="A130" s="33" t="s">
        <v>116</v>
      </c>
      <c r="B130" s="34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30" s="35" t="str">
        <f>IFERROR(VLOOKUP("UD",'[1]Informacion '!P:Q,2,FALSE),"")</f>
        <v>Unidad</v>
      </c>
      <c r="D130" s="33">
        <v>8</v>
      </c>
      <c r="E130" s="36">
        <v>100</v>
      </c>
      <c r="F130" s="37">
        <f t="shared" ca="1" si="3"/>
        <v>800</v>
      </c>
      <c r="G130" s="24"/>
      <c r="H130" s="24"/>
      <c r="I130" s="24"/>
      <c r="J130" s="24"/>
      <c r="K130" s="24"/>
    </row>
    <row r="131" spans="1:11" x14ac:dyDescent="0.3">
      <c r="A131" s="33" t="s">
        <v>117</v>
      </c>
      <c r="B131" s="34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31" s="35" t="str">
        <f>IFERROR(VLOOKUP("UD",'[1]Informacion '!P:Q,2,FALSE),"")</f>
        <v>Unidad</v>
      </c>
      <c r="D131" s="33">
        <v>4</v>
      </c>
      <c r="E131" s="36">
        <v>1500</v>
      </c>
      <c r="F131" s="37">
        <f t="shared" ca="1" si="3"/>
        <v>6000</v>
      </c>
      <c r="G131" s="24"/>
      <c r="H131" s="24"/>
      <c r="I131" s="24"/>
      <c r="J131" s="24"/>
      <c r="K131" s="24"/>
    </row>
    <row r="132" spans="1:11" x14ac:dyDescent="0.3">
      <c r="A132" s="33" t="s">
        <v>118</v>
      </c>
      <c r="B132" s="34" t="str">
        <f ca="1">IFERROR(INDEX(UNSPSCDes,MATCH(INDIRECT(ADDRESS(ROW(),COLUMN()-1,4)),UNSPSCCode,0)),IF(INDIRECT(ADDRESS(ROW(),COLUMN()-1,4))="43201803","Unidades de disco duro",""))</f>
        <v>Unidades de disco duro</v>
      </c>
      <c r="C132" s="35" t="str">
        <f>IFERROR(VLOOKUP("UD",'[1]Informacion '!P:Q,2,FALSE),"")</f>
        <v>Unidad</v>
      </c>
      <c r="D132" s="33">
        <v>2</v>
      </c>
      <c r="E132" s="36">
        <v>5520</v>
      </c>
      <c r="F132" s="37">
        <f t="shared" ca="1" si="3"/>
        <v>11040</v>
      </c>
      <c r="G132" s="24"/>
      <c r="H132" s="24"/>
      <c r="I132" s="24"/>
      <c r="J132" s="24"/>
      <c r="K132" s="24"/>
    </row>
    <row r="133" spans="1:11" x14ac:dyDescent="0.3">
      <c r="A133" s="24"/>
      <c r="B133" s="24"/>
      <c r="C133" s="24"/>
      <c r="D133" s="24"/>
      <c r="E133" s="38" t="s">
        <v>49</v>
      </c>
      <c r="F133" s="39">
        <f ca="1">SUM(Table9[MONTO TOTAL ESTIMADO])</f>
        <v>253840</v>
      </c>
      <c r="G133" s="24"/>
      <c r="H133" s="24" t="str">
        <f>C118</f>
        <v>Bienes</v>
      </c>
      <c r="I133" s="24" t="str">
        <f>E118</f>
        <v>No</v>
      </c>
      <c r="J133" s="24" t="str">
        <f>D118</f>
        <v>Compras Menores</v>
      </c>
      <c r="K133" s="24"/>
    </row>
    <row r="134" spans="1:11" ht="15" thickBot="1" x14ac:dyDescent="0.3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ht="21" thickBot="1" x14ac:dyDescent="0.35">
      <c r="A135" s="25" t="s">
        <v>18</v>
      </c>
      <c r="B135" s="25" t="s">
        <v>19</v>
      </c>
      <c r="C135" s="25" t="s">
        <v>20</v>
      </c>
      <c r="D135" s="25" t="s">
        <v>21</v>
      </c>
      <c r="E135" s="25" t="s">
        <v>22</v>
      </c>
      <c r="F135" s="25" t="s">
        <v>23</v>
      </c>
      <c r="G135" s="24"/>
      <c r="H135" s="24"/>
      <c r="I135" s="24"/>
      <c r="J135" s="24"/>
      <c r="K135" s="24"/>
    </row>
    <row r="136" spans="1:11" ht="15" thickBot="1" x14ac:dyDescent="0.35">
      <c r="A136" s="26" t="s">
        <v>119</v>
      </c>
      <c r="B136" s="26" t="s">
        <v>65</v>
      </c>
      <c r="C136" s="26" t="s">
        <v>26</v>
      </c>
      <c r="D136" s="26" t="s">
        <v>52</v>
      </c>
      <c r="E136" s="26" t="s">
        <v>28</v>
      </c>
      <c r="F136" s="26"/>
      <c r="G136" s="24"/>
      <c r="H136" s="24"/>
      <c r="I136" s="24"/>
      <c r="J136" s="24"/>
      <c r="K136" s="24"/>
    </row>
    <row r="137" spans="1:11" ht="15" thickBot="1" x14ac:dyDescent="0.35">
      <c r="A137" s="50" t="s">
        <v>29</v>
      </c>
      <c r="B137" s="27" t="s">
        <v>30</v>
      </c>
      <c r="C137" s="28">
        <v>45110</v>
      </c>
      <c r="D137" s="50" t="s">
        <v>31</v>
      </c>
      <c r="E137" s="29" t="s">
        <v>32</v>
      </c>
      <c r="F137" s="30" t="s">
        <v>33</v>
      </c>
      <c r="G137" s="24"/>
      <c r="H137" s="24"/>
      <c r="I137" s="24"/>
      <c r="J137" s="24"/>
      <c r="K137" s="24"/>
    </row>
    <row r="138" spans="1:11" ht="15" thickBot="1" x14ac:dyDescent="0.35">
      <c r="A138" s="51"/>
      <c r="B138" s="27" t="s">
        <v>34</v>
      </c>
      <c r="C138" s="31">
        <f>IF(C137="","",IF(AND(MONTH(C137)&gt;=1,MONTH(C137)&lt;=3),1,IF(AND(MONTH(C137)&gt;=4,MONTH(C137)&lt;=6),2,IF(AND(MONTH(C137)&gt;=7,MONTH(C137)&lt;=9),3,4))))</f>
        <v>3</v>
      </c>
      <c r="D138" s="51"/>
      <c r="E138" s="29" t="s">
        <v>35</v>
      </c>
      <c r="F138" s="30" t="s">
        <v>36</v>
      </c>
      <c r="G138" s="24"/>
      <c r="H138" s="24"/>
      <c r="I138" s="24"/>
      <c r="J138" s="24"/>
      <c r="K138" s="24"/>
    </row>
    <row r="139" spans="1:11" ht="15" thickBot="1" x14ac:dyDescent="0.35">
      <c r="A139" s="51"/>
      <c r="B139" s="27" t="s">
        <v>37</v>
      </c>
      <c r="C139" s="28">
        <v>45201</v>
      </c>
      <c r="D139" s="51"/>
      <c r="E139" s="29" t="s">
        <v>38</v>
      </c>
      <c r="F139" s="30" t="s">
        <v>39</v>
      </c>
      <c r="G139" s="24"/>
      <c r="H139" s="24"/>
      <c r="I139" s="24"/>
      <c r="J139" s="24"/>
      <c r="K139" s="24"/>
    </row>
    <row r="140" spans="1:11" ht="15" thickBot="1" x14ac:dyDescent="0.35">
      <c r="A140" s="51"/>
      <c r="B140" s="27" t="s">
        <v>34</v>
      </c>
      <c r="C140" s="31">
        <f>IF(C139="","",IF(AND(MONTH(C139)&gt;=1,MONTH(C139)&lt;=3),1,IF(AND(MONTH(C139)&gt;=4,MONTH(C139)&lt;=6),2,IF(AND(MONTH(C139)&gt;=7,MONTH(C139)&lt;=9),3,4))))</f>
        <v>4</v>
      </c>
      <c r="D140" s="51"/>
      <c r="E140" s="29" t="s">
        <v>40</v>
      </c>
      <c r="F140" s="30" t="s">
        <v>39</v>
      </c>
      <c r="G140" s="24"/>
      <c r="H140" s="24"/>
      <c r="I140" s="24"/>
      <c r="J140" s="24"/>
      <c r="K140" s="24"/>
    </row>
    <row r="141" spans="1:11" ht="15" thickBot="1" x14ac:dyDescent="0.3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1:11" ht="15" thickBot="1" x14ac:dyDescent="0.35">
      <c r="A142" s="32" t="s">
        <v>41</v>
      </c>
      <c r="B142" s="32" t="s">
        <v>42</v>
      </c>
      <c r="C142" s="32" t="s">
        <v>43</v>
      </c>
      <c r="D142" s="32" t="s">
        <v>44</v>
      </c>
      <c r="E142" s="32" t="s">
        <v>45</v>
      </c>
      <c r="F142" s="32" t="s">
        <v>46</v>
      </c>
      <c r="G142" s="24"/>
      <c r="H142" s="24"/>
      <c r="I142" s="24"/>
      <c r="J142" s="24"/>
      <c r="K142" s="24"/>
    </row>
    <row r="143" spans="1:11" x14ac:dyDescent="0.3">
      <c r="A143" s="33" t="s">
        <v>120</v>
      </c>
      <c r="B143" s="34" t="str">
        <f ca="1">IFERROR(INDEX(UNSPSCDes,MATCH(INDIRECT(ADDRESS(ROW(),COLUMN()-1,4)),UNSPSCCode,0)),IF(INDIRECT(ADDRESS(ROW(),COLUMN()-1,4))="56101703","Escritorios",""))</f>
        <v>Escritorios</v>
      </c>
      <c r="C143" s="35" t="str">
        <f>IFERROR(VLOOKUP("UD",'[1]Informacion '!P:Q,2,FALSE),"")</f>
        <v>Unidad</v>
      </c>
      <c r="D143" s="33">
        <v>5</v>
      </c>
      <c r="E143" s="36">
        <v>6100</v>
      </c>
      <c r="F143" s="37">
        <f t="shared" ref="F143:F154" ca="1" si="4">INDIRECT(ADDRESS(ROW(),COLUMN()-2,4))*INDIRECT(ADDRESS(ROW(),COLUMN()-1,4))</f>
        <v>30500</v>
      </c>
      <c r="G143" s="24"/>
      <c r="H143" s="24"/>
      <c r="I143" s="24"/>
      <c r="J143" s="24"/>
      <c r="K143" s="24"/>
    </row>
    <row r="144" spans="1:11" x14ac:dyDescent="0.3">
      <c r="A144" s="33" t="s">
        <v>121</v>
      </c>
      <c r="B144" s="34" t="str">
        <f ca="1">IFERROR(INDEX(UNSPSCDes,MATCH(INDIRECT(ADDRESS(ROW(),COLUMN()-1,4)),UNSPSCCode,0)),IF(INDIRECT(ADDRESS(ROW(),COLUMN()-1,4))="56121805","Archivos planos",""))</f>
        <v>Archivos planos</v>
      </c>
      <c r="C144" s="35" t="str">
        <f>IFERROR(VLOOKUP("UD",'[1]Informacion '!P:Q,2,FALSE),"")</f>
        <v>Unidad</v>
      </c>
      <c r="D144" s="33">
        <v>4</v>
      </c>
      <c r="E144" s="36">
        <v>4255</v>
      </c>
      <c r="F144" s="37">
        <f t="shared" ca="1" si="4"/>
        <v>17020</v>
      </c>
      <c r="G144" s="24"/>
      <c r="H144" s="24"/>
      <c r="I144" s="24"/>
      <c r="J144" s="24"/>
      <c r="K144" s="24"/>
    </row>
    <row r="145" spans="1:11" x14ac:dyDescent="0.3">
      <c r="A145" s="33" t="s">
        <v>122</v>
      </c>
      <c r="B145" s="34" t="str">
        <f ca="1">IFERROR(INDEX(UNSPSCDes,MATCH(INDIRECT(ADDRESS(ROW(),COLUMN()-1,4)),UNSPSCCode,0)),IF(INDIRECT(ADDRESS(ROW(),COLUMN()-1,4))="56112103","Sillas para visitantes",""))</f>
        <v>Sillas para visitantes</v>
      </c>
      <c r="C145" s="35" t="str">
        <f>IFERROR(VLOOKUP("UD",'[1]Informacion '!P:Q,2,FALSE),"")</f>
        <v>Unidad</v>
      </c>
      <c r="D145" s="33">
        <v>8</v>
      </c>
      <c r="E145" s="36">
        <v>4500</v>
      </c>
      <c r="F145" s="37">
        <f t="shared" ca="1" si="4"/>
        <v>36000</v>
      </c>
      <c r="G145" s="24"/>
      <c r="H145" s="24"/>
      <c r="I145" s="24"/>
      <c r="J145" s="24"/>
      <c r="K145" s="24"/>
    </row>
    <row r="146" spans="1:11" x14ac:dyDescent="0.3">
      <c r="A146" s="33" t="s">
        <v>123</v>
      </c>
      <c r="B146" s="34" t="str">
        <f ca="1">IFERROR(INDEX(UNSPSCDes,MATCH(INDIRECT(ADDRESS(ROW(),COLUMN()-1,4)),UNSPSCCode,0)),IF(INDIRECT(ADDRESS(ROW(),COLUMN()-1,4))="56112104","Sillas para ejecutivos",""))</f>
        <v>Sillas para ejecutivos</v>
      </c>
      <c r="C146" s="35" t="str">
        <f>IFERROR(VLOOKUP("UD",'[1]Informacion '!P:Q,2,FALSE),"")</f>
        <v>Unidad</v>
      </c>
      <c r="D146" s="33">
        <v>5</v>
      </c>
      <c r="E146" s="36">
        <v>6800</v>
      </c>
      <c r="F146" s="37">
        <f t="shared" ca="1" si="4"/>
        <v>34000</v>
      </c>
      <c r="G146" s="24"/>
      <c r="H146" s="24"/>
      <c r="I146" s="24"/>
      <c r="J146" s="24"/>
      <c r="K146" s="24"/>
    </row>
    <row r="147" spans="1:11" x14ac:dyDescent="0.3">
      <c r="A147" s="33" t="s">
        <v>124</v>
      </c>
      <c r="B147" s="34" t="str">
        <f ca="1">IFERROR(INDEX(UNSPSCDes,MATCH(INDIRECT(ADDRESS(ROW(),COLUMN()-1,4)),UNSPSCCode,0)),IF(INDIRECT(ADDRESS(ROW(),COLUMN()-1,4))="56112106","Sillas altas (taburetes)",""))</f>
        <v>Sillas altas (taburetes)</v>
      </c>
      <c r="C147" s="35" t="str">
        <f>IFERROR(VLOOKUP("UD",'[1]Informacion '!P:Q,2,FALSE),"")</f>
        <v>Unidad</v>
      </c>
      <c r="D147" s="33">
        <v>5</v>
      </c>
      <c r="E147" s="36">
        <v>3500</v>
      </c>
      <c r="F147" s="37">
        <f t="shared" ca="1" si="4"/>
        <v>17500</v>
      </c>
      <c r="G147" s="24"/>
      <c r="H147" s="24"/>
      <c r="I147" s="24"/>
      <c r="J147" s="24"/>
      <c r="K147" s="24"/>
    </row>
    <row r="148" spans="1:11" x14ac:dyDescent="0.3">
      <c r="A148" s="33" t="s">
        <v>125</v>
      </c>
      <c r="B148" s="34" t="str">
        <f ca="1">IFERROR(INDEX(UNSPSCDes,MATCH(INDIRECT(ADDRESS(ROW(),COLUMN()-1,4)),UNSPSCCode,0)),IF(INDIRECT(ADDRESS(ROW(),COLUMN()-1,4))="56101519","Mesas",""))</f>
        <v>Mesas</v>
      </c>
      <c r="C148" s="35" t="str">
        <f>IFERROR(VLOOKUP("UD",'[1]Informacion '!P:Q,2,FALSE),"")</f>
        <v>Unidad</v>
      </c>
      <c r="D148" s="33">
        <v>4</v>
      </c>
      <c r="E148" s="36">
        <v>4500</v>
      </c>
      <c r="F148" s="37">
        <f t="shared" ca="1" si="4"/>
        <v>18000</v>
      </c>
      <c r="G148" s="24"/>
      <c r="H148" s="24"/>
      <c r="I148" s="24"/>
      <c r="J148" s="24"/>
      <c r="K148" s="24"/>
    </row>
    <row r="149" spans="1:11" x14ac:dyDescent="0.3">
      <c r="A149" s="33" t="s">
        <v>126</v>
      </c>
      <c r="B149" s="34" t="str">
        <f ca="1">IFERROR(INDEX(UNSPSCDes,MATCH(INDIRECT(ADDRESS(ROW(),COLUMN()-1,4)),UNSPSCCode,0)),IF(INDIRECT(ADDRESS(ROW(),COLUMN()-1,4))="56101522","Sillas de brazos",""))</f>
        <v>Sillas de brazos</v>
      </c>
      <c r="C149" s="35" t="str">
        <f>IFERROR(VLOOKUP("UD",'[1]Informacion '!P:Q,2,FALSE),"")</f>
        <v>Unidad</v>
      </c>
      <c r="D149" s="33">
        <v>5</v>
      </c>
      <c r="E149" s="36">
        <v>5000</v>
      </c>
      <c r="F149" s="37">
        <f t="shared" ca="1" si="4"/>
        <v>25000</v>
      </c>
      <c r="G149" s="24"/>
      <c r="H149" s="24"/>
      <c r="I149" s="24"/>
      <c r="J149" s="24"/>
      <c r="K149" s="24"/>
    </row>
    <row r="150" spans="1:11" x14ac:dyDescent="0.3">
      <c r="A150" s="33" t="s">
        <v>127</v>
      </c>
      <c r="B150" s="34" t="str">
        <f ca="1">IFERROR(INDEX(UNSPSCDes,MATCH(INDIRECT(ADDRESS(ROW(),COLUMN()-1,4)),UNSPSCCode,0)),IF(INDIRECT(ADDRESS(ROW(),COLUMN()-1,4))="56101532","Set de muebles",""))</f>
        <v>Set de muebles</v>
      </c>
      <c r="C150" s="35" t="str">
        <f>IFERROR(VLOOKUP("UD",'[1]Informacion '!P:Q,2,FALSE),"")</f>
        <v>Unidad</v>
      </c>
      <c r="D150" s="33">
        <v>1</v>
      </c>
      <c r="E150" s="36">
        <v>17000</v>
      </c>
      <c r="F150" s="37">
        <f t="shared" ca="1" si="4"/>
        <v>17000</v>
      </c>
      <c r="G150" s="24"/>
      <c r="H150" s="24"/>
      <c r="I150" s="24"/>
      <c r="J150" s="24"/>
      <c r="K150" s="24"/>
    </row>
    <row r="151" spans="1:11" x14ac:dyDescent="0.3">
      <c r="A151" s="33" t="s">
        <v>128</v>
      </c>
      <c r="B151" s="34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51" s="35" t="str">
        <f>IFERROR(VLOOKUP("UD",'[1]Informacion '!P:Q,2,FALSE),"")</f>
        <v>Unidad</v>
      </c>
      <c r="D151" s="33">
        <v>1</v>
      </c>
      <c r="E151" s="36">
        <v>12000</v>
      </c>
      <c r="F151" s="37">
        <f t="shared" ca="1" si="4"/>
        <v>12000</v>
      </c>
      <c r="G151" s="24"/>
      <c r="H151" s="24"/>
      <c r="I151" s="24"/>
      <c r="J151" s="24"/>
      <c r="K151" s="24"/>
    </row>
    <row r="152" spans="1:11" x14ac:dyDescent="0.3">
      <c r="A152" s="33" t="s">
        <v>129</v>
      </c>
      <c r="B152" s="34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52" s="35" t="str">
        <f>IFERROR(VLOOKUP("UD",'[1]Informacion '!P:Q,2,FALSE),"")</f>
        <v>Unidad</v>
      </c>
      <c r="D152" s="33">
        <v>10</v>
      </c>
      <c r="E152" s="36">
        <v>700</v>
      </c>
      <c r="F152" s="37">
        <f t="shared" ca="1" si="4"/>
        <v>7000</v>
      </c>
      <c r="G152" s="24"/>
      <c r="H152" s="24"/>
      <c r="I152" s="24"/>
      <c r="J152" s="24"/>
      <c r="K152" s="24"/>
    </row>
    <row r="153" spans="1:11" x14ac:dyDescent="0.3">
      <c r="A153" s="33" t="s">
        <v>130</v>
      </c>
      <c r="B153" s="34" t="str">
        <f ca="1">IFERROR(INDEX(UNSPSCDes,MATCH(INDIRECT(ADDRESS(ROW(),COLUMN()-1,4)),UNSPSCCode,0)),IF(INDIRECT(ADDRESS(ROW(),COLUMN()-1,4))="44101802","Máquinas sumadoras",""))</f>
        <v>Máquinas sumadoras</v>
      </c>
      <c r="C153" s="35" t="str">
        <f>IFERROR(VLOOKUP("UD",'[1]Informacion '!P:Q,2,FALSE),"")</f>
        <v>Unidad</v>
      </c>
      <c r="D153" s="33">
        <v>8</v>
      </c>
      <c r="E153" s="36">
        <v>550</v>
      </c>
      <c r="F153" s="37">
        <f t="shared" ca="1" si="4"/>
        <v>4400</v>
      </c>
      <c r="G153" s="24"/>
      <c r="H153" s="24"/>
      <c r="I153" s="24"/>
      <c r="J153" s="24"/>
      <c r="K153" s="24"/>
    </row>
    <row r="154" spans="1:11" x14ac:dyDescent="0.3">
      <c r="A154" s="33" t="s">
        <v>131</v>
      </c>
      <c r="B154" s="34" t="str">
        <f ca="1">IFERROR(INDEX(UNSPSCDes,MATCH(INDIRECT(ADDRESS(ROW(),COLUMN()-1,4)),UNSPSCCode,0)),IF(INDIRECT(ADDRESS(ROW(),COLUMN()-1,4))="39121311","Accesorios eléctricos",""))</f>
        <v>Accesorios eléctricos</v>
      </c>
      <c r="C154" s="35" t="str">
        <f>IFERROR(VLOOKUP("UD",'[1]Informacion '!P:Q,2,FALSE),"")</f>
        <v>Unidad</v>
      </c>
      <c r="D154" s="33">
        <v>10</v>
      </c>
      <c r="E154" s="36">
        <v>700</v>
      </c>
      <c r="F154" s="37">
        <f t="shared" ca="1" si="4"/>
        <v>7000</v>
      </c>
      <c r="G154" s="24"/>
      <c r="H154" s="24"/>
      <c r="I154" s="24"/>
      <c r="J154" s="24"/>
      <c r="K154" s="24"/>
    </row>
    <row r="155" spans="1:11" x14ac:dyDescent="0.3">
      <c r="A155" s="24"/>
      <c r="B155" s="24"/>
      <c r="C155" s="24"/>
      <c r="D155" s="24"/>
      <c r="E155" s="38" t="s">
        <v>49</v>
      </c>
      <c r="F155" s="39">
        <f ca="1">SUM(Table10[MONTO TOTAL ESTIMADO])</f>
        <v>225420</v>
      </c>
      <c r="G155" s="24"/>
      <c r="H155" s="24" t="str">
        <f>C136</f>
        <v>Bienes</v>
      </c>
      <c r="I155" s="24" t="str">
        <f>E136</f>
        <v>No</v>
      </c>
      <c r="J155" s="24" t="str">
        <f>D136</f>
        <v>Compras Menores</v>
      </c>
      <c r="K155" s="24"/>
    </row>
    <row r="156" spans="1:11" ht="15" thickBot="1" x14ac:dyDescent="0.3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</row>
    <row r="157" spans="1:11" ht="21" thickBot="1" x14ac:dyDescent="0.35">
      <c r="A157" s="25" t="s">
        <v>18</v>
      </c>
      <c r="B157" s="25" t="s">
        <v>19</v>
      </c>
      <c r="C157" s="25" t="s">
        <v>20</v>
      </c>
      <c r="D157" s="25" t="s">
        <v>21</v>
      </c>
      <c r="E157" s="25" t="s">
        <v>22</v>
      </c>
      <c r="F157" s="25" t="s">
        <v>23</v>
      </c>
      <c r="G157" s="24"/>
      <c r="H157" s="24"/>
      <c r="I157" s="24"/>
      <c r="J157" s="24"/>
      <c r="K157" s="24"/>
    </row>
    <row r="158" spans="1:11" ht="15" thickBot="1" x14ac:dyDescent="0.35">
      <c r="A158" s="26" t="s">
        <v>132</v>
      </c>
      <c r="B158" s="26" t="s">
        <v>133</v>
      </c>
      <c r="C158" s="26" t="s">
        <v>82</v>
      </c>
      <c r="D158" s="26" t="s">
        <v>52</v>
      </c>
      <c r="E158" s="26" t="s">
        <v>28</v>
      </c>
      <c r="F158" s="26"/>
      <c r="G158" s="24"/>
      <c r="H158" s="24"/>
      <c r="I158" s="24"/>
      <c r="J158" s="24"/>
      <c r="K158" s="24"/>
    </row>
    <row r="159" spans="1:11" ht="15" thickBot="1" x14ac:dyDescent="0.35">
      <c r="A159" s="50" t="s">
        <v>29</v>
      </c>
      <c r="B159" s="27" t="s">
        <v>30</v>
      </c>
      <c r="C159" s="28">
        <v>45110</v>
      </c>
      <c r="D159" s="50" t="s">
        <v>31</v>
      </c>
      <c r="E159" s="29" t="s">
        <v>32</v>
      </c>
      <c r="F159" s="30" t="s">
        <v>33</v>
      </c>
      <c r="G159" s="24"/>
      <c r="H159" s="24"/>
      <c r="I159" s="24"/>
      <c r="J159" s="24"/>
      <c r="K159" s="24"/>
    </row>
    <row r="160" spans="1:11" ht="15" thickBot="1" x14ac:dyDescent="0.35">
      <c r="A160" s="51"/>
      <c r="B160" s="27" t="s">
        <v>34</v>
      </c>
      <c r="C160" s="31">
        <f>IF(C159="","",IF(AND(MONTH(C159)&gt;=1,MONTH(C159)&lt;=3),1,IF(AND(MONTH(C159)&gt;=4,MONTH(C159)&lt;=6),2,IF(AND(MONTH(C159)&gt;=7,MONTH(C159)&lt;=9),3,4))))</f>
        <v>3</v>
      </c>
      <c r="D160" s="51"/>
      <c r="E160" s="29" t="s">
        <v>35</v>
      </c>
      <c r="F160" s="30" t="s">
        <v>36</v>
      </c>
      <c r="G160" s="24"/>
      <c r="H160" s="24"/>
      <c r="I160" s="24"/>
      <c r="J160" s="24"/>
      <c r="K160" s="24"/>
    </row>
    <row r="161" spans="1:11" ht="15" thickBot="1" x14ac:dyDescent="0.35">
      <c r="A161" s="51"/>
      <c r="B161" s="27" t="s">
        <v>37</v>
      </c>
      <c r="C161" s="28">
        <v>45200</v>
      </c>
      <c r="D161" s="51"/>
      <c r="E161" s="29" t="s">
        <v>38</v>
      </c>
      <c r="F161" s="30" t="s">
        <v>39</v>
      </c>
      <c r="G161" s="24"/>
      <c r="H161" s="24"/>
      <c r="I161" s="24"/>
      <c r="J161" s="24"/>
      <c r="K161" s="24"/>
    </row>
    <row r="162" spans="1:11" ht="15" thickBot="1" x14ac:dyDescent="0.35">
      <c r="A162" s="51"/>
      <c r="B162" s="27" t="s">
        <v>34</v>
      </c>
      <c r="C162" s="31">
        <f>IF(C161="","",IF(AND(MONTH(C161)&gt;=1,MONTH(C161)&lt;=3),1,IF(AND(MONTH(C161)&gt;=4,MONTH(C161)&lt;=6),2,IF(AND(MONTH(C161)&gt;=7,MONTH(C161)&lt;=9),3,4))))</f>
        <v>4</v>
      </c>
      <c r="D162" s="51"/>
      <c r="E162" s="29" t="s">
        <v>40</v>
      </c>
      <c r="F162" s="30" t="s">
        <v>39</v>
      </c>
      <c r="G162" s="24"/>
      <c r="H162" s="24"/>
      <c r="I162" s="24"/>
      <c r="J162" s="24"/>
      <c r="K162" s="24"/>
    </row>
    <row r="163" spans="1:11" ht="15" thickBot="1" x14ac:dyDescent="0.3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ht="15" thickBot="1" x14ac:dyDescent="0.35">
      <c r="A164" s="32" t="s">
        <v>41</v>
      </c>
      <c r="B164" s="32" t="s">
        <v>42</v>
      </c>
      <c r="C164" s="32" t="s">
        <v>43</v>
      </c>
      <c r="D164" s="32" t="s">
        <v>44</v>
      </c>
      <c r="E164" s="32" t="s">
        <v>45</v>
      </c>
      <c r="F164" s="32" t="s">
        <v>46</v>
      </c>
      <c r="G164" s="24"/>
      <c r="H164" s="24"/>
      <c r="I164" s="24"/>
      <c r="J164" s="24"/>
      <c r="K164" s="24"/>
    </row>
    <row r="165" spans="1:11" x14ac:dyDescent="0.3">
      <c r="A165" s="33" t="s">
        <v>134</v>
      </c>
      <c r="B165" s="34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65" s="35" t="str">
        <f>IFERROR(VLOOKUP("UD",'[1]Informacion '!P:Q,2,FALSE),"")</f>
        <v>Unidad</v>
      </c>
      <c r="D165" s="33">
        <v>4</v>
      </c>
      <c r="E165" s="36">
        <v>175000</v>
      </c>
      <c r="F165" s="37">
        <f ca="1">INDIRECT(ADDRESS(ROW(),COLUMN()-2,4))*INDIRECT(ADDRESS(ROW(),COLUMN()-1,4))</f>
        <v>700000</v>
      </c>
      <c r="G165" s="24"/>
      <c r="H165" s="24"/>
      <c r="I165" s="24"/>
      <c r="J165" s="24"/>
      <c r="K165" s="24"/>
    </row>
    <row r="166" spans="1:11" x14ac:dyDescent="0.3">
      <c r="A166" s="33" t="s">
        <v>135</v>
      </c>
      <c r="B166" s="34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66" s="35" t="str">
        <f>IFERROR(VLOOKUP("UD",'[1]Informacion '!P:Q,2,FALSE),"")</f>
        <v>Unidad</v>
      </c>
      <c r="D166" s="33">
        <v>4</v>
      </c>
      <c r="E166" s="36">
        <v>100000</v>
      </c>
      <c r="F166" s="37">
        <f ca="1">INDIRECT(ADDRESS(ROW(),COLUMN()-2,4))*INDIRECT(ADDRESS(ROW(),COLUMN()-1,4))</f>
        <v>400000</v>
      </c>
      <c r="G166" s="24"/>
      <c r="H166" s="24"/>
      <c r="I166" s="24"/>
      <c r="J166" s="24"/>
      <c r="K166" s="24"/>
    </row>
    <row r="167" spans="1:11" x14ac:dyDescent="0.3">
      <c r="A167" s="33" t="s">
        <v>136</v>
      </c>
      <c r="B167" s="34" t="str">
        <f ca="1">IFERROR(INDEX(UNSPSCDes,MATCH(INDIRECT(ADDRESS(ROW(),COLUMN()-1,4)),UNSPSCCode,0)),IF(INDIRECT(ADDRESS(ROW(),COLUMN()-1,4))="82121903","Encuadernación con pegante",""))</f>
        <v>Encuadernación con pegante</v>
      </c>
      <c r="C167" s="35" t="str">
        <f>IFERROR(VLOOKUP("UD",'[1]Informacion '!P:Q,2,FALSE),"")</f>
        <v>Unidad</v>
      </c>
      <c r="D167" s="33">
        <v>4</v>
      </c>
      <c r="E167" s="36">
        <v>12500</v>
      </c>
      <c r="F167" s="37">
        <f ca="1">INDIRECT(ADDRESS(ROW(),COLUMN()-2,4))*INDIRECT(ADDRESS(ROW(),COLUMN()-1,4))</f>
        <v>50000</v>
      </c>
      <c r="G167" s="24"/>
      <c r="H167" s="24"/>
      <c r="I167" s="24"/>
      <c r="J167" s="24"/>
      <c r="K167" s="24"/>
    </row>
    <row r="168" spans="1:11" x14ac:dyDescent="0.3">
      <c r="A168" s="33" t="s">
        <v>137</v>
      </c>
      <c r="B168" s="34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68" s="35" t="str">
        <f>IFERROR(VLOOKUP("UD",'[1]Informacion '!P:Q,2,FALSE),"")</f>
        <v>Unidad</v>
      </c>
      <c r="D168" s="33">
        <v>5</v>
      </c>
      <c r="E168" s="36">
        <v>9000</v>
      </c>
      <c r="F168" s="37">
        <f ca="1">INDIRECT(ADDRESS(ROW(),COLUMN()-2,4))*INDIRECT(ADDRESS(ROW(),COLUMN()-1,4))</f>
        <v>45000</v>
      </c>
      <c r="G168" s="24"/>
      <c r="H168" s="24"/>
      <c r="I168" s="24"/>
      <c r="J168" s="24"/>
      <c r="K168" s="24"/>
    </row>
    <row r="169" spans="1:11" x14ac:dyDescent="0.3">
      <c r="A169" s="33" t="s">
        <v>138</v>
      </c>
      <c r="B169" s="34" t="str">
        <f ca="1">IFERROR(INDEX(UNSPSCDes,MATCH(INDIRECT(ADDRESS(ROW(),COLUMN()-1,4)),UNSPSCCode,0)),IF(INDIRECT(ADDRESS(ROW(),COLUMN()-1,4))="14111604","Tarjetas de presentación",""))</f>
        <v>Tarjetas de presentación</v>
      </c>
      <c r="C169" s="35" t="str">
        <f>IFERROR(VLOOKUP("UD",'[1]Informacion '!P:Q,2,FALSE),"")</f>
        <v>Unidad</v>
      </c>
      <c r="D169" s="33">
        <v>2500</v>
      </c>
      <c r="E169" s="36">
        <v>2</v>
      </c>
      <c r="F169" s="37">
        <f ca="1">INDIRECT(ADDRESS(ROW(),COLUMN()-2,4))*INDIRECT(ADDRESS(ROW(),COLUMN()-1,4))</f>
        <v>5000</v>
      </c>
      <c r="G169" s="24"/>
      <c r="H169" s="24"/>
      <c r="I169" s="24"/>
      <c r="J169" s="24"/>
      <c r="K169" s="24"/>
    </row>
    <row r="170" spans="1:11" x14ac:dyDescent="0.3">
      <c r="A170" s="24"/>
      <c r="B170" s="24"/>
      <c r="C170" s="24"/>
      <c r="D170" s="24"/>
      <c r="E170" s="38" t="s">
        <v>49</v>
      </c>
      <c r="F170" s="39">
        <f ca="1">SUM(Table11[MONTO TOTAL ESTIMADO])</f>
        <v>1200000</v>
      </c>
      <c r="G170" s="24"/>
      <c r="H170" s="24" t="str">
        <f>C158</f>
        <v>Servicios</v>
      </c>
      <c r="I170" s="24" t="str">
        <f>E158</f>
        <v>No</v>
      </c>
      <c r="J170" s="24" t="str">
        <f>D158</f>
        <v>Compras Menores</v>
      </c>
      <c r="K170" s="24"/>
    </row>
    <row r="171" spans="1:11" ht="15" thickBot="1" x14ac:dyDescent="0.3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ht="21" thickBot="1" x14ac:dyDescent="0.35">
      <c r="A172" s="25" t="s">
        <v>18</v>
      </c>
      <c r="B172" s="25" t="s">
        <v>19</v>
      </c>
      <c r="C172" s="25" t="s">
        <v>20</v>
      </c>
      <c r="D172" s="25" t="s">
        <v>21</v>
      </c>
      <c r="E172" s="25" t="s">
        <v>22</v>
      </c>
      <c r="F172" s="25" t="s">
        <v>23</v>
      </c>
      <c r="G172" s="24"/>
      <c r="H172" s="24"/>
      <c r="I172" s="24"/>
      <c r="J172" s="24"/>
      <c r="K172" s="24"/>
    </row>
    <row r="173" spans="1:11" ht="15" thickBot="1" x14ac:dyDescent="0.35">
      <c r="A173" s="26" t="s">
        <v>139</v>
      </c>
      <c r="B173" s="26" t="s">
        <v>65</v>
      </c>
      <c r="C173" s="26" t="s">
        <v>26</v>
      </c>
      <c r="D173" s="26" t="s">
        <v>52</v>
      </c>
      <c r="E173" s="26" t="s">
        <v>28</v>
      </c>
      <c r="F173" s="26"/>
      <c r="G173" s="24"/>
      <c r="H173" s="24"/>
      <c r="I173" s="24"/>
      <c r="J173" s="24"/>
      <c r="K173" s="24"/>
    </row>
    <row r="174" spans="1:11" ht="15" thickBot="1" x14ac:dyDescent="0.35">
      <c r="A174" s="50" t="s">
        <v>29</v>
      </c>
      <c r="B174" s="27" t="s">
        <v>30</v>
      </c>
      <c r="C174" s="28">
        <v>44942</v>
      </c>
      <c r="D174" s="50" t="s">
        <v>31</v>
      </c>
      <c r="E174" s="29" t="s">
        <v>32</v>
      </c>
      <c r="F174" s="30" t="s">
        <v>33</v>
      </c>
      <c r="G174" s="24"/>
      <c r="H174" s="24"/>
      <c r="I174" s="24"/>
      <c r="J174" s="24"/>
      <c r="K174" s="24"/>
    </row>
    <row r="175" spans="1:11" ht="15" thickBot="1" x14ac:dyDescent="0.35">
      <c r="A175" s="51"/>
      <c r="B175" s="27" t="s">
        <v>34</v>
      </c>
      <c r="C175" s="31">
        <f>IF(C174="","",IF(AND(MONTH(C174)&gt;=1,MONTH(C174)&lt;=3),1,IF(AND(MONTH(C174)&gt;=4,MONTH(C174)&lt;=6),2,IF(AND(MONTH(C174)&gt;=7,MONTH(C174)&lt;=9),3,4))))</f>
        <v>1</v>
      </c>
      <c r="D175" s="51"/>
      <c r="E175" s="29" t="s">
        <v>35</v>
      </c>
      <c r="F175" s="30" t="s">
        <v>36</v>
      </c>
      <c r="G175" s="24"/>
      <c r="H175" s="24"/>
      <c r="I175" s="24"/>
      <c r="J175" s="24"/>
      <c r="K175" s="24"/>
    </row>
    <row r="176" spans="1:11" ht="15" thickBot="1" x14ac:dyDescent="0.35">
      <c r="A176" s="51"/>
      <c r="B176" s="27" t="s">
        <v>37</v>
      </c>
      <c r="C176" s="28">
        <v>45016</v>
      </c>
      <c r="D176" s="51"/>
      <c r="E176" s="29" t="s">
        <v>38</v>
      </c>
      <c r="F176" s="30" t="s">
        <v>39</v>
      </c>
      <c r="G176" s="24"/>
      <c r="H176" s="24"/>
      <c r="I176" s="24"/>
      <c r="J176" s="24"/>
      <c r="K176" s="24"/>
    </row>
    <row r="177" spans="1:11" ht="15" thickBot="1" x14ac:dyDescent="0.35">
      <c r="A177" s="51"/>
      <c r="B177" s="27" t="s">
        <v>34</v>
      </c>
      <c r="C177" s="31">
        <f>IF(C176="","",IF(AND(MONTH(C176)&gt;=1,MONTH(C176)&lt;=3),1,IF(AND(MONTH(C176)&gt;=4,MONTH(C176)&lt;=6),2,IF(AND(MONTH(C176)&gt;=7,MONTH(C176)&lt;=9),3,4))))</f>
        <v>1</v>
      </c>
      <c r="D177" s="51"/>
      <c r="E177" s="29" t="s">
        <v>40</v>
      </c>
      <c r="F177" s="30" t="s">
        <v>39</v>
      </c>
      <c r="G177" s="24"/>
      <c r="H177" s="24"/>
      <c r="I177" s="24"/>
      <c r="J177" s="24"/>
      <c r="K177" s="24"/>
    </row>
    <row r="178" spans="1:11" ht="15" thickBot="1" x14ac:dyDescent="0.3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ht="15" thickBot="1" x14ac:dyDescent="0.35">
      <c r="A179" s="32" t="s">
        <v>41</v>
      </c>
      <c r="B179" s="32" t="s">
        <v>42</v>
      </c>
      <c r="C179" s="32" t="s">
        <v>43</v>
      </c>
      <c r="D179" s="32" t="s">
        <v>44</v>
      </c>
      <c r="E179" s="32" t="s">
        <v>45</v>
      </c>
      <c r="F179" s="32" t="s">
        <v>46</v>
      </c>
      <c r="G179" s="24"/>
      <c r="H179" s="24"/>
      <c r="I179" s="24"/>
      <c r="J179" s="24"/>
      <c r="K179" s="24"/>
    </row>
    <row r="180" spans="1:11" x14ac:dyDescent="0.3">
      <c r="A180" s="33" t="s">
        <v>140</v>
      </c>
      <c r="B180" s="34" t="str">
        <f ca="1">IFERROR(INDEX(UNSPSCDes,MATCH(INDIRECT(ADDRESS(ROW(),COLUMN()-1,4)),UNSPSCCode,0)),IF(INDIRECT(ADDRESS(ROW(),COLUMN()-1,4))="60104912","Alambres o cables eléctricos",""))</f>
        <v>Alambres o cables eléctricos</v>
      </c>
      <c r="C180" s="35" t="str">
        <f>IFERROR(VLOOKUP("FT",'[1]Informacion '!P:Q,2,FALSE),"")</f>
        <v>Pie</v>
      </c>
      <c r="D180" s="33">
        <v>2500</v>
      </c>
      <c r="E180" s="36">
        <v>4.8</v>
      </c>
      <c r="F180" s="37">
        <f t="shared" ref="F180:F200" ca="1" si="5">INDIRECT(ADDRESS(ROW(),COLUMN()-2,4))*INDIRECT(ADDRESS(ROW(),COLUMN()-1,4))</f>
        <v>12000</v>
      </c>
      <c r="G180" s="24"/>
      <c r="H180" s="24"/>
      <c r="I180" s="24"/>
      <c r="J180" s="24"/>
      <c r="K180" s="24"/>
    </row>
    <row r="181" spans="1:11" x14ac:dyDescent="0.3">
      <c r="A181" s="33" t="s">
        <v>141</v>
      </c>
      <c r="B181" s="34" t="str">
        <f ca="1">IFERROR(INDEX(UNSPSCDes,MATCH(INDIRECT(ADDRESS(ROW(),COLUMN()-1,4)),UNSPSCCode,0)),IF(INDIRECT(ADDRESS(ROW(),COLUMN()-1,4))="39111810","Interruptor de lámpara",""))</f>
        <v>Interruptor de lámpara</v>
      </c>
      <c r="C181" s="35" t="str">
        <f>IFERROR(VLOOKUP("UD",'[1]Informacion '!P:Q,2,FALSE),"")</f>
        <v>Unidad</v>
      </c>
      <c r="D181" s="33">
        <v>50</v>
      </c>
      <c r="E181" s="36">
        <v>78</v>
      </c>
      <c r="F181" s="37">
        <f t="shared" ca="1" si="5"/>
        <v>3900</v>
      </c>
      <c r="G181" s="24"/>
      <c r="H181" s="24"/>
      <c r="I181" s="24"/>
      <c r="J181" s="24"/>
      <c r="K181" s="24"/>
    </row>
    <row r="182" spans="1:11" x14ac:dyDescent="0.3">
      <c r="A182" s="33" t="s">
        <v>142</v>
      </c>
      <c r="B182" s="34" t="str">
        <f ca="1">IFERROR(INDEX(UNSPSCDes,MATCH(INDIRECT(ADDRESS(ROW(),COLUMN()-1,4)),UNSPSCCode,0)),IF(INDIRECT(ADDRESS(ROW(),COLUMN()-1,4))="39111808","Parrillas",""))</f>
        <v>Parrillas</v>
      </c>
      <c r="C182" s="35" t="str">
        <f>IFERROR(VLOOKUP("UD",'[1]Informacion '!P:Q,2,FALSE),"")</f>
        <v>Unidad</v>
      </c>
      <c r="D182" s="33">
        <v>25</v>
      </c>
      <c r="E182" s="36">
        <v>85</v>
      </c>
      <c r="F182" s="37">
        <f t="shared" ca="1" si="5"/>
        <v>2125</v>
      </c>
      <c r="G182" s="24"/>
      <c r="H182" s="24"/>
      <c r="I182" s="24"/>
      <c r="J182" s="24"/>
      <c r="K182" s="24"/>
    </row>
    <row r="183" spans="1:11" x14ac:dyDescent="0.3">
      <c r="A183" s="33" t="s">
        <v>143</v>
      </c>
      <c r="B183" s="34" t="str">
        <f ca="1">IFERROR(INDEX(UNSPSCDes,MATCH(INDIRECT(ADDRESS(ROW(),COLUMN()-1,4)),UNSPSCCode,0)),IF(INDIRECT(ADDRESS(ROW(),COLUMN()-1,4))="39121205","Canaletas para cables",""))</f>
        <v>Canaletas para cables</v>
      </c>
      <c r="C183" s="35" t="str">
        <f>IFERROR(VLOOKUP("UD",'[1]Informacion '!P:Q,2,FALSE),"")</f>
        <v>Unidad</v>
      </c>
      <c r="D183" s="33">
        <v>25</v>
      </c>
      <c r="E183" s="36">
        <v>430</v>
      </c>
      <c r="F183" s="37">
        <f t="shared" ca="1" si="5"/>
        <v>10750</v>
      </c>
      <c r="G183" s="24"/>
      <c r="H183" s="24"/>
      <c r="I183" s="24"/>
      <c r="J183" s="24"/>
      <c r="K183" s="24"/>
    </row>
    <row r="184" spans="1:11" x14ac:dyDescent="0.3">
      <c r="A184" s="33" t="s">
        <v>144</v>
      </c>
      <c r="B184" s="34" t="str">
        <f ca="1">IFERROR(INDEX(UNSPSCDes,MATCH(INDIRECT(ADDRESS(ROW(),COLUMN()-1,4)),UNSPSCCode,0)),IF(INDIRECT(ADDRESS(ROW(),COLUMN()-1,4))="39121303","Cajas eléctricas",""))</f>
        <v>Cajas eléctricas</v>
      </c>
      <c r="C184" s="35" t="str">
        <f>IFERROR(VLOOKUP("UD",'[1]Informacion '!P:Q,2,FALSE),"")</f>
        <v>Unidad</v>
      </c>
      <c r="D184" s="33">
        <v>75</v>
      </c>
      <c r="E184" s="36">
        <v>88</v>
      </c>
      <c r="F184" s="37">
        <f t="shared" ca="1" si="5"/>
        <v>6600</v>
      </c>
      <c r="G184" s="24"/>
      <c r="H184" s="24"/>
      <c r="I184" s="24"/>
      <c r="J184" s="24"/>
      <c r="K184" s="24"/>
    </row>
    <row r="185" spans="1:11" x14ac:dyDescent="0.3">
      <c r="A185" s="33" t="s">
        <v>145</v>
      </c>
      <c r="B185" s="34" t="str">
        <f ca="1">IFERROR(INDEX(UNSPSCDes,MATCH(INDIRECT(ADDRESS(ROW(),COLUMN()-1,4)),UNSPSCCode,0)),IF(INDIRECT(ADDRESS(ROW(),COLUMN()-1,4))="39121402","Enchufes eléctricos",""))</f>
        <v>Enchufes eléctricos</v>
      </c>
      <c r="C185" s="35" t="str">
        <f>IFERROR(VLOOKUP("UD",'[1]Informacion '!P:Q,2,FALSE),"")</f>
        <v>Unidad</v>
      </c>
      <c r="D185" s="33">
        <v>150</v>
      </c>
      <c r="E185" s="36">
        <v>65</v>
      </c>
      <c r="F185" s="37">
        <f t="shared" ca="1" si="5"/>
        <v>9750</v>
      </c>
      <c r="G185" s="24"/>
      <c r="H185" s="24"/>
      <c r="I185" s="24"/>
      <c r="J185" s="24"/>
      <c r="K185" s="24"/>
    </row>
    <row r="186" spans="1:11" x14ac:dyDescent="0.3">
      <c r="A186" s="33" t="s">
        <v>146</v>
      </c>
      <c r="B186" s="34" t="str">
        <f ca="1">IFERROR(INDEX(UNSPSCDes,MATCH(INDIRECT(ADDRESS(ROW(),COLUMN()-1,4)),UNSPSCCode,0)),IF(INDIRECT(ADDRESS(ROW(),COLUMN()-1,4))="39121549","Termostato",""))</f>
        <v>Termostato</v>
      </c>
      <c r="C186" s="35" t="str">
        <f>IFERROR(VLOOKUP("UD",'[1]Informacion '!P:Q,2,FALSE),"")</f>
        <v>Unidad</v>
      </c>
      <c r="D186" s="33">
        <v>50</v>
      </c>
      <c r="E186" s="36">
        <v>2500</v>
      </c>
      <c r="F186" s="37">
        <f t="shared" ca="1" si="5"/>
        <v>125000</v>
      </c>
      <c r="G186" s="24"/>
      <c r="H186" s="24"/>
      <c r="I186" s="24"/>
      <c r="J186" s="24"/>
      <c r="K186" s="24"/>
    </row>
    <row r="187" spans="1:11" x14ac:dyDescent="0.3">
      <c r="A187" s="33" t="s">
        <v>147</v>
      </c>
      <c r="B187" s="34" t="str">
        <f ca="1">IFERROR(INDEX(UNSPSCDes,MATCH(INDIRECT(ADDRESS(ROW(),COLUMN()-1,4)),UNSPSCCode,0)),IF(INDIRECT(ADDRESS(ROW(),COLUMN()-1,4))="39121601","Breakers de circuito",""))</f>
        <v>Breakers de circuito</v>
      </c>
      <c r="C187" s="35" t="str">
        <f>IFERROR(VLOOKUP("UD",'[1]Informacion '!P:Q,2,FALSE),"")</f>
        <v>Unidad</v>
      </c>
      <c r="D187" s="33">
        <v>15</v>
      </c>
      <c r="E187" s="36">
        <v>295</v>
      </c>
      <c r="F187" s="37">
        <f t="shared" ca="1" si="5"/>
        <v>4425</v>
      </c>
      <c r="G187" s="24"/>
      <c r="H187" s="24"/>
      <c r="I187" s="24"/>
      <c r="J187" s="24"/>
      <c r="K187" s="24"/>
    </row>
    <row r="188" spans="1:11" x14ac:dyDescent="0.3">
      <c r="A188" s="33" t="s">
        <v>148</v>
      </c>
      <c r="B188" s="34" t="str">
        <f ca="1">IFERROR(INDEX(UNSPSCDes,MATCH(INDIRECT(ADDRESS(ROW(),COLUMN()-1,4)),UNSPSCCode,0)),IF(INDIRECT(ADDRESS(ROW(),COLUMN()-1,4))="39121615","Breakers de circuito de aire",""))</f>
        <v>Breakers de circuito de aire</v>
      </c>
      <c r="C188" s="35" t="str">
        <f>IFERROR(VLOOKUP("UD",'[1]Informacion '!P:Q,2,FALSE),"")</f>
        <v>Unidad</v>
      </c>
      <c r="D188" s="33">
        <v>10</v>
      </c>
      <c r="E188" s="36">
        <v>280</v>
      </c>
      <c r="F188" s="37">
        <f t="shared" ca="1" si="5"/>
        <v>2800</v>
      </c>
      <c r="G188" s="24"/>
      <c r="H188" s="24"/>
      <c r="I188" s="24"/>
      <c r="J188" s="24"/>
      <c r="K188" s="24"/>
    </row>
    <row r="189" spans="1:11" x14ac:dyDescent="0.3">
      <c r="A189" s="33" t="s">
        <v>149</v>
      </c>
      <c r="B189" s="34" t="str">
        <f ca="1">IFERROR(INDEX(UNSPSCDes,MATCH(INDIRECT(ADDRESS(ROW(),COLUMN()-1,4)),UNSPSCCode,0)),IF(INDIRECT(ADDRESS(ROW(),COLUMN()-1,4))="32141016","Tubos múltiples",""))</f>
        <v>Tubos múltiples</v>
      </c>
      <c r="C189" s="35" t="str">
        <f>IFERROR(VLOOKUP("UD",'[1]Informacion '!P:Q,2,FALSE),"")</f>
        <v>Unidad</v>
      </c>
      <c r="D189" s="33">
        <v>100</v>
      </c>
      <c r="E189" s="36">
        <v>450</v>
      </c>
      <c r="F189" s="37">
        <f t="shared" ca="1" si="5"/>
        <v>45000</v>
      </c>
      <c r="G189" s="24"/>
      <c r="H189" s="24"/>
      <c r="I189" s="24"/>
      <c r="J189" s="24"/>
      <c r="K189" s="24"/>
    </row>
    <row r="190" spans="1:11" x14ac:dyDescent="0.3">
      <c r="A190" s="33" t="s">
        <v>150</v>
      </c>
      <c r="B190" s="34" t="str">
        <f ca="1">IFERROR(INDEX(UNSPSCDes,MATCH(INDIRECT(ADDRESS(ROW(),COLUMN()-1,4)),UNSPSCCode,0)),IF(INDIRECT(ADDRESS(ROW(),COLUMN()-1,4))="23171536","Portaelectrodos",""))</f>
        <v>Portaelectrodos</v>
      </c>
      <c r="C190" s="35" t="str">
        <f>IFERROR(VLOOKUP("UD",'[1]Informacion '!P:Q,2,FALSE),"")</f>
        <v>Unidad</v>
      </c>
      <c r="D190" s="33">
        <v>100</v>
      </c>
      <c r="E190" s="36">
        <v>848</v>
      </c>
      <c r="F190" s="37">
        <f t="shared" ca="1" si="5"/>
        <v>84800</v>
      </c>
      <c r="G190" s="24"/>
      <c r="H190" s="24"/>
      <c r="I190" s="24"/>
      <c r="J190" s="24"/>
      <c r="K190" s="24"/>
    </row>
    <row r="191" spans="1:11" x14ac:dyDescent="0.3">
      <c r="A191" s="33" t="s">
        <v>151</v>
      </c>
      <c r="B191" s="34" t="str">
        <f ca="1">IFERROR(INDEX(UNSPSCDes,MATCH(INDIRECT(ADDRESS(ROW(),COLUMN()-1,4)),UNSPSCCode,0)),IF(INDIRECT(ADDRESS(ROW(),COLUMN()-1,4))="31241607","Barras redondas",""))</f>
        <v>Barras redondas</v>
      </c>
      <c r="C191" s="35" t="str">
        <f>IFERROR(VLOOKUP("UD",'[1]Informacion '!P:Q,2,FALSE),"")</f>
        <v>Unidad</v>
      </c>
      <c r="D191" s="33">
        <v>100</v>
      </c>
      <c r="E191" s="36">
        <v>550</v>
      </c>
      <c r="F191" s="37">
        <f t="shared" ca="1" si="5"/>
        <v>55000</v>
      </c>
      <c r="G191" s="24"/>
      <c r="H191" s="24"/>
      <c r="I191" s="24"/>
      <c r="J191" s="24"/>
      <c r="K191" s="24"/>
    </row>
    <row r="192" spans="1:11" x14ac:dyDescent="0.3">
      <c r="A192" s="33" t="s">
        <v>152</v>
      </c>
      <c r="B192" s="34" t="str">
        <f ca="1">IFERROR(INDEX(UNSPSCDes,MATCH(INDIRECT(ADDRESS(ROW(),COLUMN()-1,4)),UNSPSCCode,0)),IF(INDIRECT(ADDRESS(ROW(),COLUMN()-1,4))="31241608","Barras cuadradas",""))</f>
        <v>Barras cuadradas</v>
      </c>
      <c r="C192" s="35" t="str">
        <f>IFERROR(VLOOKUP("UD",'[1]Informacion '!P:Q,2,FALSE),"")</f>
        <v>Unidad</v>
      </c>
      <c r="D192" s="33">
        <v>50</v>
      </c>
      <c r="E192" s="36">
        <v>660</v>
      </c>
      <c r="F192" s="37">
        <f t="shared" ca="1" si="5"/>
        <v>33000</v>
      </c>
      <c r="G192" s="24"/>
      <c r="H192" s="24"/>
      <c r="I192" s="24"/>
      <c r="J192" s="24"/>
      <c r="K192" s="24"/>
    </row>
    <row r="193" spans="1:11" x14ac:dyDescent="0.3">
      <c r="A193" s="33" t="s">
        <v>153</v>
      </c>
      <c r="B193" s="34" t="str">
        <f ca="1">IFERROR(INDEX(UNSPSCDes,MATCH(INDIRECT(ADDRESS(ROW(),COLUMN()-1,4)),UNSPSCCode,0)),IF(INDIRECT(ADDRESS(ROW(),COLUMN()-1,4))="40161505","Filtros de aire",""))</f>
        <v>Filtros de aire</v>
      </c>
      <c r="C193" s="35" t="str">
        <f>IFERROR(VLOOKUP("UD",'[1]Informacion '!P:Q,2,FALSE),"")</f>
        <v>Unidad</v>
      </c>
      <c r="D193" s="33">
        <v>50</v>
      </c>
      <c r="E193" s="36">
        <v>130</v>
      </c>
      <c r="F193" s="37">
        <f t="shared" ca="1" si="5"/>
        <v>6500</v>
      </c>
      <c r="G193" s="24"/>
      <c r="H193" s="24"/>
      <c r="I193" s="24"/>
      <c r="J193" s="24"/>
      <c r="K193" s="24"/>
    </row>
    <row r="194" spans="1:11" x14ac:dyDescent="0.3">
      <c r="A194" s="33" t="s">
        <v>154</v>
      </c>
      <c r="B194" s="34" t="str">
        <f ca="1">IFERROR(INDEX(UNSPSCDes,MATCH(INDIRECT(ADDRESS(ROW(),COLUMN()-1,4)),UNSPSCCode,0)),IF(INDIRECT(ADDRESS(ROW(),COLUMN()-1,4))="31162304","Regletas de montaje",""))</f>
        <v>Regletas de montaje</v>
      </c>
      <c r="C194" s="35" t="str">
        <f>IFERROR(VLOOKUP("UD",'[1]Informacion '!P:Q,2,FALSE),"")</f>
        <v>Unidad</v>
      </c>
      <c r="D194" s="33">
        <v>100</v>
      </c>
      <c r="E194" s="36">
        <v>150</v>
      </c>
      <c r="F194" s="37">
        <f t="shared" ca="1" si="5"/>
        <v>15000</v>
      </c>
      <c r="G194" s="24"/>
      <c r="H194" s="24"/>
      <c r="I194" s="24"/>
      <c r="J194" s="24"/>
      <c r="K194" s="24"/>
    </row>
    <row r="195" spans="1:11" x14ac:dyDescent="0.3">
      <c r="A195" s="33" t="s">
        <v>155</v>
      </c>
      <c r="B195" s="34" t="str">
        <f ca="1">IFERROR(INDEX(UNSPSCDes,MATCH(INDIRECT(ADDRESS(ROW(),COLUMN()-1,4)),UNSPSCCode,0)),IF(INDIRECT(ADDRESS(ROW(),COLUMN()-1,4))="23171508","Máquinas de soldar",""))</f>
        <v>Máquinas de soldar</v>
      </c>
      <c r="C195" s="35" t="str">
        <f>IFERROR(VLOOKUP("UD",'[1]Informacion '!P:Q,2,FALSE),"")</f>
        <v>Unidad</v>
      </c>
      <c r="D195" s="33">
        <v>3</v>
      </c>
      <c r="E195" s="36">
        <v>1050</v>
      </c>
      <c r="F195" s="37">
        <f t="shared" ca="1" si="5"/>
        <v>3150</v>
      </c>
      <c r="G195" s="24"/>
      <c r="H195" s="24"/>
      <c r="I195" s="24"/>
      <c r="J195" s="24"/>
      <c r="K195" s="24"/>
    </row>
    <row r="196" spans="1:11" x14ac:dyDescent="0.3">
      <c r="A196" s="33" t="s">
        <v>156</v>
      </c>
      <c r="B196" s="34" t="str">
        <f ca="1">IFERROR(INDEX(UNSPSCDes,MATCH(INDIRECT(ADDRESS(ROW(),COLUMN()-1,4)),UNSPSCCode,0)),IF(INDIRECT(ADDRESS(ROW(),COLUMN()-1,4))="23171511","Herramientas de soldadura",""))</f>
        <v>Herramientas de soldadura</v>
      </c>
      <c r="C196" s="35" t="str">
        <f>IFERROR(VLOOKUP("UD",'[1]Informacion '!P:Q,2,FALSE),"")</f>
        <v>Unidad</v>
      </c>
      <c r="D196" s="33">
        <v>4</v>
      </c>
      <c r="E196" s="36">
        <v>60000</v>
      </c>
      <c r="F196" s="37">
        <f t="shared" ca="1" si="5"/>
        <v>240000</v>
      </c>
      <c r="G196" s="24"/>
      <c r="H196" s="24"/>
      <c r="I196" s="24"/>
      <c r="J196" s="24"/>
      <c r="K196" s="24"/>
    </row>
    <row r="197" spans="1:11" x14ac:dyDescent="0.3">
      <c r="A197" s="33" t="s">
        <v>157</v>
      </c>
      <c r="B197" s="34" t="str">
        <f ca="1">IFERROR(INDEX(UNSPSCDes,MATCH(INDIRECT(ADDRESS(ROW(),COLUMN()-1,4)),UNSPSCCode,0)),IF(INDIRECT(ADDRESS(ROW(),COLUMN()-1,4))="31162414","Abrazadera",""))</f>
        <v>Abrazadera</v>
      </c>
      <c r="C197" s="35" t="str">
        <f>IFERROR(VLOOKUP("UD",'[1]Informacion '!P:Q,2,FALSE),"")</f>
        <v>Unidad</v>
      </c>
      <c r="D197" s="33">
        <v>100</v>
      </c>
      <c r="E197" s="36">
        <v>16.5</v>
      </c>
      <c r="F197" s="37">
        <f t="shared" ca="1" si="5"/>
        <v>1650</v>
      </c>
      <c r="G197" s="24"/>
      <c r="H197" s="24"/>
      <c r="I197" s="24"/>
      <c r="J197" s="24"/>
      <c r="K197" s="24"/>
    </row>
    <row r="198" spans="1:11" x14ac:dyDescent="0.3">
      <c r="A198" s="33" t="s">
        <v>158</v>
      </c>
      <c r="B198" s="34" t="str">
        <f ca="1">IFERROR(INDEX(UNSPSCDes,MATCH(INDIRECT(ADDRESS(ROW(),COLUMN()-1,4)),UNSPSCCode,0)),IF(INDIRECT(ADDRESS(ROW(),COLUMN()-1,4))="32121705","Inversores",""))</f>
        <v>Inversores</v>
      </c>
      <c r="C198" s="35" t="str">
        <f>IFERROR(VLOOKUP("UD",'[1]Informacion '!P:Q,2,FALSE),"")</f>
        <v>Unidad</v>
      </c>
      <c r="D198" s="33">
        <v>7</v>
      </c>
      <c r="E198" s="36">
        <v>12000</v>
      </c>
      <c r="F198" s="37">
        <f t="shared" ca="1" si="5"/>
        <v>84000</v>
      </c>
      <c r="G198" s="24"/>
      <c r="H198" s="24"/>
      <c r="I198" s="24"/>
      <c r="J198" s="24"/>
      <c r="K198" s="24"/>
    </row>
    <row r="199" spans="1:11" x14ac:dyDescent="0.3">
      <c r="A199" s="33" t="s">
        <v>159</v>
      </c>
      <c r="B199" s="34" t="str">
        <f ca="1">IFERROR(INDEX(UNSPSCDes,MATCH(INDIRECT(ADDRESS(ROW(),COLUMN()-1,4)),UNSPSCCode,0)),IF(INDIRECT(ADDRESS(ROW(),COLUMN()-1,4))="26111701","Baterías recargables",""))</f>
        <v>Baterías recargables</v>
      </c>
      <c r="C199" s="35" t="str">
        <f>IFERROR(VLOOKUP("UD",'[1]Informacion '!P:Q,2,FALSE),"")</f>
        <v>Unidad</v>
      </c>
      <c r="D199" s="33">
        <v>43</v>
      </c>
      <c r="E199" s="36">
        <v>4500</v>
      </c>
      <c r="F199" s="37">
        <f t="shared" ca="1" si="5"/>
        <v>193500</v>
      </c>
      <c r="G199" s="24"/>
      <c r="H199" s="24"/>
      <c r="I199" s="24"/>
      <c r="J199" s="24"/>
      <c r="K199" s="24"/>
    </row>
    <row r="200" spans="1:11" x14ac:dyDescent="0.3">
      <c r="A200" s="33" t="s">
        <v>160</v>
      </c>
      <c r="B200" s="34" t="str">
        <f ca="1">IFERROR(INDEX(UNSPSCDes,MATCH(INDIRECT(ADDRESS(ROW(),COLUMN()-1,4)),UNSPSCCode,0)),IF(INDIRECT(ADDRESS(ROW(),COLUMN()-1,4))="39101605","Lámparas fluorescentes",""))</f>
        <v>Lámparas fluorescentes</v>
      </c>
      <c r="C200" s="35" t="str">
        <f>IFERROR(VLOOKUP("UD",'[1]Informacion '!P:Q,2,FALSE),"")</f>
        <v>Unidad</v>
      </c>
      <c r="D200" s="33">
        <v>100</v>
      </c>
      <c r="E200" s="36">
        <v>250</v>
      </c>
      <c r="F200" s="37">
        <f t="shared" ca="1" si="5"/>
        <v>25000</v>
      </c>
      <c r="G200" s="24"/>
      <c r="H200" s="24"/>
      <c r="I200" s="24"/>
      <c r="J200" s="24"/>
      <c r="K200" s="24"/>
    </row>
    <row r="201" spans="1:11" x14ac:dyDescent="0.3">
      <c r="A201" s="24"/>
      <c r="B201" s="24"/>
      <c r="C201" s="24"/>
      <c r="D201" s="24"/>
      <c r="E201" s="38" t="s">
        <v>49</v>
      </c>
      <c r="F201" s="39">
        <f ca="1">SUM(Table12[MONTO TOTAL ESTIMADO])</f>
        <v>963950</v>
      </c>
      <c r="G201" s="24"/>
      <c r="H201" s="24" t="str">
        <f>C173</f>
        <v>Bienes</v>
      </c>
      <c r="I201" s="24" t="str">
        <f>E173</f>
        <v>No</v>
      </c>
      <c r="J201" s="24" t="str">
        <f>D173</f>
        <v>Compras Menores</v>
      </c>
      <c r="K201" s="24"/>
    </row>
    <row r="202" spans="1:11" ht="15" thickBot="1" x14ac:dyDescent="0.3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1:11" ht="21" thickBot="1" x14ac:dyDescent="0.35">
      <c r="A203" s="25" t="s">
        <v>18</v>
      </c>
      <c r="B203" s="25" t="s">
        <v>19</v>
      </c>
      <c r="C203" s="25" t="s">
        <v>20</v>
      </c>
      <c r="D203" s="25" t="s">
        <v>21</v>
      </c>
      <c r="E203" s="25" t="s">
        <v>22</v>
      </c>
      <c r="F203" s="25" t="s">
        <v>23</v>
      </c>
      <c r="G203" s="24"/>
      <c r="H203" s="24"/>
      <c r="I203" s="24"/>
      <c r="J203" s="24"/>
      <c r="K203" s="24"/>
    </row>
    <row r="204" spans="1:11" ht="15" thickBot="1" x14ac:dyDescent="0.35">
      <c r="A204" s="26" t="s">
        <v>161</v>
      </c>
      <c r="B204" s="26" t="s">
        <v>65</v>
      </c>
      <c r="C204" s="26" t="s">
        <v>26</v>
      </c>
      <c r="D204" s="26" t="s">
        <v>52</v>
      </c>
      <c r="E204" s="26" t="s">
        <v>66</v>
      </c>
      <c r="F204" s="26"/>
      <c r="G204" s="24"/>
      <c r="H204" s="24"/>
      <c r="I204" s="24"/>
      <c r="J204" s="24"/>
      <c r="K204" s="24"/>
    </row>
    <row r="205" spans="1:11" ht="15" thickBot="1" x14ac:dyDescent="0.35">
      <c r="A205" s="50" t="s">
        <v>29</v>
      </c>
      <c r="B205" s="27" t="s">
        <v>30</v>
      </c>
      <c r="C205" s="28">
        <v>44942</v>
      </c>
      <c r="D205" s="50" t="s">
        <v>31</v>
      </c>
      <c r="E205" s="29" t="s">
        <v>32</v>
      </c>
      <c r="F205" s="30" t="s">
        <v>33</v>
      </c>
      <c r="G205" s="24"/>
      <c r="H205" s="24"/>
      <c r="I205" s="24"/>
      <c r="J205" s="24"/>
      <c r="K205" s="24"/>
    </row>
    <row r="206" spans="1:11" ht="15" thickBot="1" x14ac:dyDescent="0.35">
      <c r="A206" s="51"/>
      <c r="B206" s="27" t="s">
        <v>34</v>
      </c>
      <c r="C206" s="31">
        <f>IF(C205="","",IF(AND(MONTH(C205)&gt;=1,MONTH(C205)&lt;=3),1,IF(AND(MONTH(C205)&gt;=4,MONTH(C205)&lt;=6),2,IF(AND(MONTH(C205)&gt;=7,MONTH(C205)&lt;=9),3,4))))</f>
        <v>1</v>
      </c>
      <c r="D206" s="51"/>
      <c r="E206" s="29" t="s">
        <v>35</v>
      </c>
      <c r="F206" s="30" t="s">
        <v>36</v>
      </c>
      <c r="G206" s="24"/>
      <c r="H206" s="24"/>
      <c r="I206" s="24"/>
      <c r="J206" s="24"/>
      <c r="K206" s="24"/>
    </row>
    <row r="207" spans="1:11" ht="15" thickBot="1" x14ac:dyDescent="0.35">
      <c r="A207" s="51"/>
      <c r="B207" s="27" t="s">
        <v>37</v>
      </c>
      <c r="C207" s="28">
        <v>45016</v>
      </c>
      <c r="D207" s="51"/>
      <c r="E207" s="29" t="s">
        <v>38</v>
      </c>
      <c r="F207" s="30" t="s">
        <v>39</v>
      </c>
      <c r="G207" s="24"/>
      <c r="H207" s="24"/>
      <c r="I207" s="24"/>
      <c r="J207" s="24"/>
      <c r="K207" s="24"/>
    </row>
    <row r="208" spans="1:11" ht="15" thickBot="1" x14ac:dyDescent="0.35">
      <c r="A208" s="51"/>
      <c r="B208" s="27" t="s">
        <v>34</v>
      </c>
      <c r="C208" s="31">
        <f>IF(C207="","",IF(AND(MONTH(C207)&gt;=1,MONTH(C207)&lt;=3),1,IF(AND(MONTH(C207)&gt;=4,MONTH(C207)&lt;=6),2,IF(AND(MONTH(C207)&gt;=7,MONTH(C207)&lt;=9),3,4))))</f>
        <v>1</v>
      </c>
      <c r="D208" s="51"/>
      <c r="E208" s="29" t="s">
        <v>40</v>
      </c>
      <c r="F208" s="30" t="s">
        <v>39</v>
      </c>
      <c r="G208" s="24"/>
      <c r="H208" s="24"/>
      <c r="I208" s="24"/>
      <c r="J208" s="24"/>
      <c r="K208" s="24"/>
    </row>
    <row r="209" spans="1:11" ht="15" thickBot="1" x14ac:dyDescent="0.3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1:11" ht="15" thickBot="1" x14ac:dyDescent="0.35">
      <c r="A210" s="32" t="s">
        <v>41</v>
      </c>
      <c r="B210" s="32" t="s">
        <v>42</v>
      </c>
      <c r="C210" s="32" t="s">
        <v>43</v>
      </c>
      <c r="D210" s="32" t="s">
        <v>44</v>
      </c>
      <c r="E210" s="32" t="s">
        <v>45</v>
      </c>
      <c r="F210" s="32" t="s">
        <v>46</v>
      </c>
      <c r="G210" s="24"/>
      <c r="H210" s="24"/>
      <c r="I210" s="24"/>
      <c r="J210" s="24"/>
      <c r="K210" s="24"/>
    </row>
    <row r="211" spans="1:11" x14ac:dyDescent="0.3">
      <c r="A211" s="33" t="s">
        <v>162</v>
      </c>
      <c r="B211" s="34" t="str">
        <f ca="1">IFERROR(INDEX(UNSPSCDes,MATCH(INDIRECT(ADDRESS(ROW(),COLUMN()-1,4)),UNSPSCCode,0)),IF(INDIRECT(ADDRESS(ROW(),COLUMN()-1,4))="46171610","Cámaras de seguridad",""))</f>
        <v>Cámaras de seguridad</v>
      </c>
      <c r="C211" s="35" t="str">
        <f>IFERROR(VLOOKUP("UD",'[1]Informacion '!P:Q,2,FALSE),"")</f>
        <v>Unidad</v>
      </c>
      <c r="D211" s="33">
        <v>20</v>
      </c>
      <c r="E211" s="36">
        <v>5000</v>
      </c>
      <c r="F211" s="37">
        <f t="shared" ref="F211:F216" ca="1" si="6">INDIRECT(ADDRESS(ROW(),COLUMN()-2,4))*INDIRECT(ADDRESS(ROW(),COLUMN()-1,4))</f>
        <v>100000</v>
      </c>
      <c r="G211" s="24"/>
      <c r="H211" s="24"/>
      <c r="I211" s="24"/>
      <c r="J211" s="24"/>
      <c r="K211" s="24"/>
    </row>
    <row r="212" spans="1:11" x14ac:dyDescent="0.3">
      <c r="A212" s="33" t="s">
        <v>163</v>
      </c>
      <c r="B212" s="34" t="str">
        <f ca="1">IFERROR(INDEX(UNSPSCDes,MATCH(INDIRECT(ADDRESS(ROW(),COLUMN()-1,4)),UNSPSCCode,0)),IF(INDIRECT(ADDRESS(ROW(),COLUMN()-1,4))="46191601","Extintores",""))</f>
        <v>Extintores</v>
      </c>
      <c r="C212" s="35" t="str">
        <f>IFERROR(VLOOKUP("UD",'[1]Informacion '!P:Q,2,FALSE),"")</f>
        <v>Unidad</v>
      </c>
      <c r="D212" s="33">
        <v>30</v>
      </c>
      <c r="E212" s="36">
        <v>1250</v>
      </c>
      <c r="F212" s="37">
        <f t="shared" ca="1" si="6"/>
        <v>37500</v>
      </c>
      <c r="G212" s="24"/>
      <c r="H212" s="24"/>
      <c r="I212" s="24"/>
      <c r="J212" s="24"/>
      <c r="K212" s="24"/>
    </row>
    <row r="213" spans="1:11" x14ac:dyDescent="0.3">
      <c r="A213" s="33" t="s">
        <v>164</v>
      </c>
      <c r="B213" s="34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213" s="35" t="str">
        <f>IFERROR(VLOOKUP("UD",'[1]Informacion '!P:Q,2,FALSE),"")</f>
        <v>Unidad</v>
      </c>
      <c r="D213" s="33">
        <v>23</v>
      </c>
      <c r="E213" s="36">
        <v>68000</v>
      </c>
      <c r="F213" s="37">
        <f t="shared" ca="1" si="6"/>
        <v>1564000</v>
      </c>
      <c r="G213" s="24"/>
      <c r="H213" s="24"/>
      <c r="I213" s="24"/>
      <c r="J213" s="24"/>
      <c r="K213" s="24"/>
    </row>
    <row r="214" spans="1:11" x14ac:dyDescent="0.3">
      <c r="A214" s="33" t="s">
        <v>165</v>
      </c>
      <c r="B214" s="34" t="str">
        <f ca="1">IFERROR(INDEX(UNSPSCDes,MATCH(INDIRECT(ADDRESS(ROW(),COLUMN()-1,4)),UNSPSCCode,0)),IF(INDIRECT(ADDRESS(ROW(),COLUMN()-1,4))="46181604","Botas de seguridad",""))</f>
        <v>Botas de seguridad</v>
      </c>
      <c r="C214" s="35" t="str">
        <f>IFERROR(VLOOKUP("UD",'[1]Informacion '!P:Q,2,FALSE),"")</f>
        <v>Unidad</v>
      </c>
      <c r="D214" s="33">
        <v>30</v>
      </c>
      <c r="E214" s="36">
        <v>1250</v>
      </c>
      <c r="F214" s="37">
        <f t="shared" ca="1" si="6"/>
        <v>37500</v>
      </c>
      <c r="G214" s="24"/>
      <c r="H214" s="24"/>
      <c r="I214" s="24"/>
      <c r="J214" s="24"/>
      <c r="K214" s="24"/>
    </row>
    <row r="215" spans="1:11" x14ac:dyDescent="0.3">
      <c r="A215" s="33" t="s">
        <v>166</v>
      </c>
      <c r="B215" s="34" t="str">
        <f ca="1">IFERROR(INDEX(UNSPSCDes,MATCH(INDIRECT(ADDRESS(ROW(),COLUMN()-1,4)),UNSPSCCode,0)),IF(INDIRECT(ADDRESS(ROW(),COLUMN()-1,4))="46181704","Cascos de seguridad",""))</f>
        <v>Cascos de seguridad</v>
      </c>
      <c r="C215" s="35"/>
      <c r="D215" s="33">
        <v>11</v>
      </c>
      <c r="E215" s="36">
        <v>425</v>
      </c>
      <c r="F215" s="37">
        <f t="shared" ca="1" si="6"/>
        <v>4675</v>
      </c>
      <c r="G215" s="24"/>
      <c r="H215" s="24"/>
      <c r="I215" s="24"/>
      <c r="J215" s="24"/>
      <c r="K215" s="24"/>
    </row>
    <row r="216" spans="1:11" x14ac:dyDescent="0.3">
      <c r="A216" s="33" t="s">
        <v>167</v>
      </c>
      <c r="B216" s="34" t="str">
        <f ca="1">IFERROR(INDEX(UNSPSCDes,MATCH(INDIRECT(ADDRESS(ROW(),COLUMN()-1,4)),UNSPSCCode,0)),IF(INDIRECT(ADDRESS(ROW(),COLUMN()-1,4))="46181507","Chalecos de seguridad",""))</f>
        <v>Chalecos de seguridad</v>
      </c>
      <c r="C216" s="35" t="str">
        <f>IFERROR(VLOOKUP("UD",'[1]Informacion '!P:Q,2,FALSE),"")</f>
        <v>Unidad</v>
      </c>
      <c r="D216" s="33">
        <v>15</v>
      </c>
      <c r="E216" s="36">
        <v>475</v>
      </c>
      <c r="F216" s="37">
        <f t="shared" ca="1" si="6"/>
        <v>7125</v>
      </c>
      <c r="G216" s="24"/>
      <c r="H216" s="24"/>
      <c r="I216" s="24"/>
      <c r="J216" s="24"/>
      <c r="K216" s="24"/>
    </row>
    <row r="217" spans="1:11" x14ac:dyDescent="0.3">
      <c r="A217" s="24"/>
      <c r="B217" s="24"/>
      <c r="C217" s="24"/>
      <c r="D217" s="24"/>
      <c r="E217" s="38" t="s">
        <v>49</v>
      </c>
      <c r="F217" s="39">
        <f ca="1">SUM(Table13[MONTO TOTAL ESTIMADO])</f>
        <v>1750800</v>
      </c>
      <c r="G217" s="24"/>
      <c r="H217" s="24" t="str">
        <f>C204</f>
        <v>Bienes</v>
      </c>
      <c r="I217" s="24" t="str">
        <f>E204</f>
        <v>Sí</v>
      </c>
      <c r="J217" s="24" t="str">
        <f>D204</f>
        <v>Compras Menores</v>
      </c>
      <c r="K217" s="24"/>
    </row>
    <row r="218" spans="1:11" ht="15" thickBot="1" x14ac:dyDescent="0.3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1:11" ht="21" thickBot="1" x14ac:dyDescent="0.35">
      <c r="A219" s="25" t="s">
        <v>18</v>
      </c>
      <c r="B219" s="25" t="s">
        <v>19</v>
      </c>
      <c r="C219" s="25" t="s">
        <v>20</v>
      </c>
      <c r="D219" s="25" t="s">
        <v>21</v>
      </c>
      <c r="E219" s="25" t="s">
        <v>22</v>
      </c>
      <c r="F219" s="25" t="s">
        <v>23</v>
      </c>
      <c r="G219" s="24"/>
      <c r="H219" s="24"/>
      <c r="I219" s="24"/>
      <c r="J219" s="24"/>
      <c r="K219" s="24"/>
    </row>
    <row r="220" spans="1:11" ht="15" thickBot="1" x14ac:dyDescent="0.35">
      <c r="A220" s="26" t="s">
        <v>168</v>
      </c>
      <c r="B220" s="26" t="s">
        <v>169</v>
      </c>
      <c r="C220" s="26" t="s">
        <v>82</v>
      </c>
      <c r="D220" s="26" t="s">
        <v>52</v>
      </c>
      <c r="E220" s="26" t="s">
        <v>28</v>
      </c>
      <c r="F220" s="26"/>
      <c r="G220" s="24"/>
      <c r="H220" s="24"/>
      <c r="I220" s="24"/>
      <c r="J220" s="24"/>
      <c r="K220" s="24"/>
    </row>
    <row r="221" spans="1:11" ht="15" thickBot="1" x14ac:dyDescent="0.35">
      <c r="A221" s="50" t="s">
        <v>29</v>
      </c>
      <c r="B221" s="27" t="s">
        <v>30</v>
      </c>
      <c r="C221" s="28">
        <v>44942</v>
      </c>
      <c r="D221" s="50" t="s">
        <v>31</v>
      </c>
      <c r="E221" s="29" t="s">
        <v>32</v>
      </c>
      <c r="F221" s="30" t="s">
        <v>33</v>
      </c>
      <c r="G221" s="24"/>
      <c r="H221" s="24"/>
      <c r="I221" s="24"/>
      <c r="J221" s="24"/>
      <c r="K221" s="24"/>
    </row>
    <row r="222" spans="1:11" ht="15" thickBot="1" x14ac:dyDescent="0.35">
      <c r="A222" s="51"/>
      <c r="B222" s="27" t="s">
        <v>34</v>
      </c>
      <c r="C222" s="31">
        <f>IF(C221="","",IF(AND(MONTH(C221)&gt;=1,MONTH(C221)&lt;=3),1,IF(AND(MONTH(C221)&gt;=4,MONTH(C221)&lt;=6),2,IF(AND(MONTH(C221)&gt;=7,MONTH(C221)&lt;=9),3,4))))</f>
        <v>1</v>
      </c>
      <c r="D222" s="51"/>
      <c r="E222" s="29" t="s">
        <v>35</v>
      </c>
      <c r="F222" s="30" t="s">
        <v>36</v>
      </c>
      <c r="G222" s="24"/>
      <c r="H222" s="24"/>
      <c r="I222" s="24"/>
      <c r="J222" s="24"/>
      <c r="K222" s="24"/>
    </row>
    <row r="223" spans="1:11" ht="15" thickBot="1" x14ac:dyDescent="0.35">
      <c r="A223" s="51"/>
      <c r="B223" s="27" t="s">
        <v>37</v>
      </c>
      <c r="C223" s="28">
        <v>45016</v>
      </c>
      <c r="D223" s="51"/>
      <c r="E223" s="29" t="s">
        <v>38</v>
      </c>
      <c r="F223" s="30" t="s">
        <v>39</v>
      </c>
      <c r="G223" s="24"/>
      <c r="H223" s="24"/>
      <c r="I223" s="24"/>
      <c r="J223" s="24"/>
      <c r="K223" s="24"/>
    </row>
    <row r="224" spans="1:11" ht="15" thickBot="1" x14ac:dyDescent="0.35">
      <c r="A224" s="51"/>
      <c r="B224" s="27" t="s">
        <v>34</v>
      </c>
      <c r="C224" s="31">
        <f>IF(C223="","",IF(AND(MONTH(C223)&gt;=1,MONTH(C223)&lt;=3),1,IF(AND(MONTH(C223)&gt;=4,MONTH(C223)&lt;=6),2,IF(AND(MONTH(C223)&gt;=7,MONTH(C223)&lt;=9),3,4))))</f>
        <v>1</v>
      </c>
      <c r="D224" s="51"/>
      <c r="E224" s="29" t="s">
        <v>40</v>
      </c>
      <c r="F224" s="30" t="s">
        <v>39</v>
      </c>
      <c r="G224" s="24"/>
      <c r="H224" s="24"/>
      <c r="I224" s="24"/>
      <c r="J224" s="24"/>
      <c r="K224" s="24"/>
    </row>
    <row r="225" spans="1:11" ht="15" thickBot="1" x14ac:dyDescent="0.3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 ht="15" thickBot="1" x14ac:dyDescent="0.35">
      <c r="A226" s="32" t="s">
        <v>41</v>
      </c>
      <c r="B226" s="32" t="s">
        <v>42</v>
      </c>
      <c r="C226" s="32" t="s">
        <v>43</v>
      </c>
      <c r="D226" s="32" t="s">
        <v>44</v>
      </c>
      <c r="E226" s="32" t="s">
        <v>45</v>
      </c>
      <c r="F226" s="32" t="s">
        <v>46</v>
      </c>
      <c r="G226" s="24"/>
      <c r="H226" s="24"/>
      <c r="I226" s="24"/>
      <c r="J226" s="24"/>
      <c r="K226" s="24"/>
    </row>
    <row r="227" spans="1:11" x14ac:dyDescent="0.3">
      <c r="A227" s="33" t="s">
        <v>170</v>
      </c>
      <c r="B227" s="34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27" s="35" t="str">
        <f>IFERROR(VLOOKUP("UD",'[1]Informacion '!P:Q,2,FALSE),"")</f>
        <v>Unidad</v>
      </c>
      <c r="D227" s="33">
        <v>1</v>
      </c>
      <c r="E227" s="36">
        <v>180000</v>
      </c>
      <c r="F227" s="37">
        <f ca="1">INDIRECT(ADDRESS(ROW(),COLUMN()-2,4))*INDIRECT(ADDRESS(ROW(),COLUMN()-1,4))</f>
        <v>180000</v>
      </c>
      <c r="G227" s="24"/>
      <c r="H227" s="24"/>
      <c r="I227" s="24"/>
      <c r="J227" s="24"/>
      <c r="K227" s="24"/>
    </row>
    <row r="228" spans="1:11" x14ac:dyDescent="0.3">
      <c r="A228" s="24"/>
      <c r="B228" s="24"/>
      <c r="C228" s="24"/>
      <c r="D228" s="24"/>
      <c r="E228" s="38" t="s">
        <v>49</v>
      </c>
      <c r="F228" s="39">
        <f ca="1">SUM(Table14[MONTO TOTAL ESTIMADO])</f>
        <v>180000</v>
      </c>
      <c r="G228" s="24"/>
      <c r="H228" s="24" t="str">
        <f>C220</f>
        <v>Servicios</v>
      </c>
      <c r="I228" s="24" t="str">
        <f>E220</f>
        <v>No</v>
      </c>
      <c r="J228" s="24" t="str">
        <f>D220</f>
        <v>Compras Menores</v>
      </c>
      <c r="K228" s="24"/>
    </row>
    <row r="229" spans="1:11" ht="15" thickBot="1" x14ac:dyDescent="0.3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</row>
    <row r="230" spans="1:11" ht="21" thickBot="1" x14ac:dyDescent="0.35">
      <c r="A230" s="25" t="s">
        <v>18</v>
      </c>
      <c r="B230" s="25" t="s">
        <v>19</v>
      </c>
      <c r="C230" s="25" t="s">
        <v>20</v>
      </c>
      <c r="D230" s="25" t="s">
        <v>21</v>
      </c>
      <c r="E230" s="25" t="s">
        <v>22</v>
      </c>
      <c r="F230" s="25" t="s">
        <v>23</v>
      </c>
      <c r="G230" s="24"/>
      <c r="H230" s="24"/>
      <c r="I230" s="24"/>
      <c r="J230" s="24"/>
      <c r="K230" s="24"/>
    </row>
    <row r="231" spans="1:11" ht="15" thickBot="1" x14ac:dyDescent="0.35">
      <c r="A231" s="26" t="s">
        <v>171</v>
      </c>
      <c r="B231" s="26" t="s">
        <v>172</v>
      </c>
      <c r="C231" s="26" t="s">
        <v>82</v>
      </c>
      <c r="D231" s="26" t="s">
        <v>52</v>
      </c>
      <c r="E231" s="26" t="s">
        <v>28</v>
      </c>
      <c r="F231" s="26"/>
      <c r="G231" s="24"/>
      <c r="H231" s="24"/>
      <c r="I231" s="24"/>
      <c r="J231" s="24"/>
      <c r="K231" s="24"/>
    </row>
    <row r="232" spans="1:11" ht="15" thickBot="1" x14ac:dyDescent="0.35">
      <c r="A232" s="50" t="s">
        <v>29</v>
      </c>
      <c r="B232" s="27" t="s">
        <v>30</v>
      </c>
      <c r="C232" s="28">
        <v>45019</v>
      </c>
      <c r="D232" s="50" t="s">
        <v>31</v>
      </c>
      <c r="E232" s="29" t="s">
        <v>32</v>
      </c>
      <c r="F232" s="30" t="s">
        <v>33</v>
      </c>
      <c r="G232" s="24"/>
      <c r="H232" s="24"/>
      <c r="I232" s="24"/>
      <c r="J232" s="24"/>
      <c r="K232" s="24"/>
    </row>
    <row r="233" spans="1:11" ht="15" thickBot="1" x14ac:dyDescent="0.35">
      <c r="A233" s="51"/>
      <c r="B233" s="27" t="s">
        <v>34</v>
      </c>
      <c r="C233" s="31">
        <f>IF(C232="","",IF(AND(MONTH(C232)&gt;=1,MONTH(C232)&lt;=3),1,IF(AND(MONTH(C232)&gt;=4,MONTH(C232)&lt;=6),2,IF(AND(MONTH(C232)&gt;=7,MONTH(C232)&lt;=9),3,4))))</f>
        <v>2</v>
      </c>
      <c r="D233" s="51"/>
      <c r="E233" s="29" t="s">
        <v>35</v>
      </c>
      <c r="F233" s="30" t="s">
        <v>36</v>
      </c>
      <c r="G233" s="24"/>
      <c r="H233" s="24"/>
      <c r="I233" s="24"/>
      <c r="J233" s="24"/>
      <c r="K233" s="24"/>
    </row>
    <row r="234" spans="1:11" ht="15" thickBot="1" x14ac:dyDescent="0.35">
      <c r="A234" s="51"/>
      <c r="B234" s="27" t="s">
        <v>37</v>
      </c>
      <c r="C234" s="28">
        <v>45077</v>
      </c>
      <c r="D234" s="51"/>
      <c r="E234" s="29" t="s">
        <v>38</v>
      </c>
      <c r="F234" s="30" t="s">
        <v>39</v>
      </c>
      <c r="G234" s="24"/>
      <c r="H234" s="24"/>
      <c r="I234" s="24"/>
      <c r="J234" s="24"/>
      <c r="K234" s="24"/>
    </row>
    <row r="235" spans="1:11" ht="15" thickBot="1" x14ac:dyDescent="0.35">
      <c r="A235" s="51"/>
      <c r="B235" s="27" t="s">
        <v>34</v>
      </c>
      <c r="C235" s="31">
        <f>IF(C234="","",IF(AND(MONTH(C234)&gt;=1,MONTH(C234)&lt;=3),1,IF(AND(MONTH(C234)&gt;=4,MONTH(C234)&lt;=6),2,IF(AND(MONTH(C234)&gt;=7,MONTH(C234)&lt;=9),3,4))))</f>
        <v>2</v>
      </c>
      <c r="D235" s="51"/>
      <c r="E235" s="29" t="s">
        <v>40</v>
      </c>
      <c r="F235" s="30" t="s">
        <v>39</v>
      </c>
      <c r="G235" s="24"/>
      <c r="H235" s="24"/>
      <c r="I235" s="24"/>
      <c r="J235" s="24"/>
      <c r="K235" s="24"/>
    </row>
    <row r="236" spans="1:11" ht="15" thickBot="1" x14ac:dyDescent="0.3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</row>
    <row r="237" spans="1:11" ht="15" thickBot="1" x14ac:dyDescent="0.35">
      <c r="A237" s="32" t="s">
        <v>41</v>
      </c>
      <c r="B237" s="32" t="s">
        <v>42</v>
      </c>
      <c r="C237" s="32" t="s">
        <v>43</v>
      </c>
      <c r="D237" s="32" t="s">
        <v>44</v>
      </c>
      <c r="E237" s="32" t="s">
        <v>45</v>
      </c>
      <c r="F237" s="32" t="s">
        <v>46</v>
      </c>
      <c r="G237" s="24"/>
      <c r="H237" s="24"/>
      <c r="I237" s="24"/>
      <c r="J237" s="24"/>
      <c r="K237" s="24"/>
    </row>
    <row r="238" spans="1:11" x14ac:dyDescent="0.3">
      <c r="A238" s="40">
        <v>11101506</v>
      </c>
      <c r="B238" s="34" t="str">
        <f ca="1">IFERROR(INDEX(UNSPSCDes,MATCH(INDIRECT(ADDRESS(ROW(),COLUMN()-1,4)),UNSPSCCode,0)),IF(INDIRECT(ADDRESS(ROW(),COLUMN()-1,4))="72102305","Servicios de reparación, mantenimiento o reparación de aire acondicionado",""))</f>
        <v>Tiza</v>
      </c>
      <c r="C238" s="35" t="str">
        <f>IFERROR(VLOOKUP("UD",'[1]Informacion '!P:Q,2,FALSE),"")</f>
        <v>Unidad</v>
      </c>
      <c r="D238" s="33">
        <v>1</v>
      </c>
      <c r="E238" s="36">
        <v>300000</v>
      </c>
      <c r="F238" s="37">
        <f ca="1">INDIRECT(ADDRESS(ROW(),COLUMN()-2,4))*INDIRECT(ADDRESS(ROW(),COLUMN()-1,4))</f>
        <v>300000</v>
      </c>
      <c r="G238" s="24"/>
      <c r="H238" s="24"/>
      <c r="I238" s="24"/>
      <c r="J238" s="24"/>
      <c r="K238" s="24"/>
    </row>
    <row r="239" spans="1:11" x14ac:dyDescent="0.3">
      <c r="A239" s="24"/>
      <c r="B239" s="24"/>
      <c r="C239" s="24"/>
      <c r="D239" s="24"/>
      <c r="E239" s="38" t="s">
        <v>49</v>
      </c>
      <c r="F239" s="39">
        <f ca="1">SUM(Table15[MONTO TOTAL ESTIMADO])</f>
        <v>300000</v>
      </c>
      <c r="G239" s="24"/>
      <c r="H239" s="24" t="str">
        <f>C231</f>
        <v>Servicios</v>
      </c>
      <c r="I239" s="24" t="str">
        <f>E231</f>
        <v>No</v>
      </c>
      <c r="J239" s="24" t="str">
        <f>D231</f>
        <v>Compras Menores</v>
      </c>
      <c r="K239" s="24"/>
    </row>
    <row r="240" spans="1:11" ht="15" thickBot="1" x14ac:dyDescent="0.3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</row>
    <row r="241" spans="1:11" ht="21" thickBot="1" x14ac:dyDescent="0.35">
      <c r="A241" s="25" t="s">
        <v>18</v>
      </c>
      <c r="B241" s="25" t="s">
        <v>19</v>
      </c>
      <c r="C241" s="25" t="s">
        <v>20</v>
      </c>
      <c r="D241" s="25" t="s">
        <v>21</v>
      </c>
      <c r="E241" s="25" t="s">
        <v>22</v>
      </c>
      <c r="F241" s="25" t="s">
        <v>23</v>
      </c>
      <c r="G241" s="24"/>
      <c r="H241" s="24"/>
      <c r="I241" s="24"/>
      <c r="J241" s="24"/>
      <c r="K241" s="24"/>
    </row>
    <row r="242" spans="1:11" ht="15" thickBot="1" x14ac:dyDescent="0.35">
      <c r="A242" s="26" t="s">
        <v>161</v>
      </c>
      <c r="B242" s="26" t="s">
        <v>65</v>
      </c>
      <c r="C242" s="26" t="s">
        <v>26</v>
      </c>
      <c r="D242" s="26" t="s">
        <v>52</v>
      </c>
      <c r="E242" s="26" t="s">
        <v>28</v>
      </c>
      <c r="F242" s="26"/>
      <c r="G242" s="24"/>
      <c r="H242" s="24"/>
      <c r="I242" s="24"/>
      <c r="J242" s="24"/>
      <c r="K242" s="24"/>
    </row>
    <row r="243" spans="1:11" ht="15" thickBot="1" x14ac:dyDescent="0.35">
      <c r="A243" s="50" t="s">
        <v>29</v>
      </c>
      <c r="B243" s="27" t="s">
        <v>30</v>
      </c>
      <c r="C243" s="28">
        <v>45231</v>
      </c>
      <c r="D243" s="50" t="s">
        <v>31</v>
      </c>
      <c r="E243" s="29" t="s">
        <v>32</v>
      </c>
      <c r="F243" s="30" t="s">
        <v>33</v>
      </c>
      <c r="G243" s="24"/>
      <c r="H243" s="24"/>
      <c r="I243" s="24"/>
      <c r="J243" s="24"/>
      <c r="K243" s="24"/>
    </row>
    <row r="244" spans="1:11" ht="15" thickBot="1" x14ac:dyDescent="0.35">
      <c r="A244" s="51"/>
      <c r="B244" s="27" t="s">
        <v>34</v>
      </c>
      <c r="C244" s="31">
        <f>IF(C243="","",IF(AND(MONTH(C243)&gt;=1,MONTH(C243)&lt;=3),1,IF(AND(MONTH(C243)&gt;=4,MONTH(C243)&lt;=6),2,IF(AND(MONTH(C243)&gt;=7,MONTH(C243)&lt;=9),3,4))))</f>
        <v>4</v>
      </c>
      <c r="D244" s="51"/>
      <c r="E244" s="29" t="s">
        <v>35</v>
      </c>
      <c r="F244" s="30" t="s">
        <v>36</v>
      </c>
      <c r="G244" s="24"/>
      <c r="H244" s="24"/>
      <c r="I244" s="24"/>
      <c r="J244" s="24"/>
      <c r="K244" s="24"/>
    </row>
    <row r="245" spans="1:11" ht="15" thickBot="1" x14ac:dyDescent="0.35">
      <c r="A245" s="51"/>
      <c r="B245" s="27" t="s">
        <v>37</v>
      </c>
      <c r="C245" s="28">
        <v>45289</v>
      </c>
      <c r="D245" s="51"/>
      <c r="E245" s="29" t="s">
        <v>38</v>
      </c>
      <c r="F245" s="30" t="s">
        <v>39</v>
      </c>
      <c r="G245" s="24"/>
      <c r="H245" s="24"/>
      <c r="I245" s="24"/>
      <c r="J245" s="24"/>
      <c r="K245" s="24"/>
    </row>
    <row r="246" spans="1:11" ht="15" thickBot="1" x14ac:dyDescent="0.35">
      <c r="A246" s="51"/>
      <c r="B246" s="27" t="s">
        <v>34</v>
      </c>
      <c r="C246" s="31">
        <f>IF(C245="","",IF(AND(MONTH(C245)&gt;=1,MONTH(C245)&lt;=3),1,IF(AND(MONTH(C245)&gt;=4,MONTH(C245)&lt;=6),2,IF(AND(MONTH(C245)&gt;=7,MONTH(C245)&lt;=9),3,4))))</f>
        <v>4</v>
      </c>
      <c r="D246" s="51"/>
      <c r="E246" s="29" t="s">
        <v>40</v>
      </c>
      <c r="F246" s="30" t="s">
        <v>39</v>
      </c>
      <c r="G246" s="24"/>
      <c r="H246" s="24"/>
      <c r="I246" s="24"/>
      <c r="J246" s="24"/>
      <c r="K246" s="24"/>
    </row>
    <row r="247" spans="1:11" ht="15" thickBot="1" x14ac:dyDescent="0.3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</row>
    <row r="248" spans="1:11" ht="15" thickBot="1" x14ac:dyDescent="0.35">
      <c r="A248" s="32" t="s">
        <v>41</v>
      </c>
      <c r="B248" s="32" t="s">
        <v>42</v>
      </c>
      <c r="C248" s="32" t="s">
        <v>43</v>
      </c>
      <c r="D248" s="32" t="s">
        <v>44</v>
      </c>
      <c r="E248" s="32" t="s">
        <v>45</v>
      </c>
      <c r="F248" s="32" t="s">
        <v>46</v>
      </c>
      <c r="G248" s="24"/>
      <c r="H248" s="24"/>
      <c r="I248" s="24"/>
      <c r="J248" s="24"/>
      <c r="K248" s="24"/>
    </row>
    <row r="249" spans="1:11" x14ac:dyDescent="0.3">
      <c r="A249" s="33" t="s">
        <v>173</v>
      </c>
      <c r="B249" s="34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249" s="35" t="str">
        <f>IFERROR(VLOOKUP("UD",'[1]Informacion '!P:Q,2,FALSE),"")</f>
        <v>Unidad</v>
      </c>
      <c r="D249" s="33">
        <v>1</v>
      </c>
      <c r="E249" s="36">
        <v>200364</v>
      </c>
      <c r="F249" s="37">
        <f ca="1">INDIRECT(ADDRESS(ROW(),COLUMN()-2,4))*INDIRECT(ADDRESS(ROW(),COLUMN()-1,4))</f>
        <v>200364</v>
      </c>
      <c r="G249" s="24"/>
      <c r="H249" s="24"/>
      <c r="I249" s="24"/>
      <c r="J249" s="24"/>
      <c r="K249" s="24"/>
    </row>
    <row r="250" spans="1:11" x14ac:dyDescent="0.3">
      <c r="A250" s="24"/>
      <c r="B250" s="24"/>
      <c r="C250" s="24"/>
      <c r="D250" s="24"/>
      <c r="E250" s="38" t="s">
        <v>49</v>
      </c>
      <c r="F250" s="39">
        <f ca="1">SUM(Table16[MONTO TOTAL ESTIMADO])</f>
        <v>200364</v>
      </c>
      <c r="G250" s="24"/>
      <c r="H250" s="24" t="str">
        <f>C242</f>
        <v>Bienes</v>
      </c>
      <c r="I250" s="24" t="str">
        <f>E242</f>
        <v>No</v>
      </c>
      <c r="J250" s="24" t="str">
        <f>D242</f>
        <v>Compras Menores</v>
      </c>
      <c r="K250" s="24"/>
    </row>
    <row r="251" spans="1:11" ht="15" thickBot="1" x14ac:dyDescent="0.3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</row>
    <row r="252" spans="1:11" ht="21" thickBot="1" x14ac:dyDescent="0.35">
      <c r="A252" s="25" t="s">
        <v>18</v>
      </c>
      <c r="B252" s="25" t="s">
        <v>19</v>
      </c>
      <c r="C252" s="25" t="s">
        <v>20</v>
      </c>
      <c r="D252" s="25" t="s">
        <v>21</v>
      </c>
      <c r="E252" s="25" t="s">
        <v>22</v>
      </c>
      <c r="F252" s="25" t="s">
        <v>23</v>
      </c>
      <c r="G252" s="24"/>
      <c r="H252" s="24"/>
      <c r="I252" s="24"/>
      <c r="J252" s="24"/>
      <c r="K252" s="24"/>
    </row>
    <row r="253" spans="1:11" ht="15" thickBot="1" x14ac:dyDescent="0.35">
      <c r="A253" s="26" t="s">
        <v>174</v>
      </c>
      <c r="B253" s="26" t="s">
        <v>65</v>
      </c>
      <c r="C253" s="26" t="s">
        <v>26</v>
      </c>
      <c r="D253" s="26" t="s">
        <v>175</v>
      </c>
      <c r="E253" s="26" t="s">
        <v>28</v>
      </c>
      <c r="F253" s="26"/>
      <c r="G253" s="24"/>
      <c r="H253" s="24"/>
      <c r="I253" s="24"/>
      <c r="J253" s="24"/>
      <c r="K253" s="24"/>
    </row>
    <row r="254" spans="1:11" ht="15" thickBot="1" x14ac:dyDescent="0.35">
      <c r="A254" s="50" t="s">
        <v>29</v>
      </c>
      <c r="B254" s="27" t="s">
        <v>30</v>
      </c>
      <c r="C254" s="28">
        <v>45110</v>
      </c>
      <c r="D254" s="50" t="s">
        <v>31</v>
      </c>
      <c r="E254" s="29" t="s">
        <v>32</v>
      </c>
      <c r="F254" s="30" t="s">
        <v>33</v>
      </c>
      <c r="G254" s="24"/>
      <c r="H254" s="24"/>
      <c r="I254" s="24"/>
      <c r="J254" s="24"/>
      <c r="K254" s="24"/>
    </row>
    <row r="255" spans="1:11" ht="15" thickBot="1" x14ac:dyDescent="0.35">
      <c r="A255" s="51"/>
      <c r="B255" s="27" t="s">
        <v>34</v>
      </c>
      <c r="C255" s="31">
        <f>IF(C254="","",IF(AND(MONTH(C254)&gt;=1,MONTH(C254)&lt;=3),1,IF(AND(MONTH(C254)&gt;=4,MONTH(C254)&lt;=6),2,IF(AND(MONTH(C254)&gt;=7,MONTH(C254)&lt;=9),3,4))))</f>
        <v>3</v>
      </c>
      <c r="D255" s="51"/>
      <c r="E255" s="29" t="s">
        <v>35</v>
      </c>
      <c r="F255" s="30" t="s">
        <v>36</v>
      </c>
      <c r="G255" s="24"/>
      <c r="H255" s="24"/>
      <c r="I255" s="24"/>
      <c r="J255" s="24"/>
      <c r="K255" s="24"/>
    </row>
    <row r="256" spans="1:11" ht="15" thickBot="1" x14ac:dyDescent="0.35">
      <c r="A256" s="51"/>
      <c r="B256" s="27" t="s">
        <v>37</v>
      </c>
      <c r="C256" s="28">
        <v>45260</v>
      </c>
      <c r="D256" s="51"/>
      <c r="E256" s="29" t="s">
        <v>38</v>
      </c>
      <c r="F256" s="30" t="s">
        <v>39</v>
      </c>
      <c r="G256" s="24"/>
      <c r="H256" s="24"/>
      <c r="I256" s="24"/>
      <c r="J256" s="24"/>
      <c r="K256" s="24"/>
    </row>
    <row r="257" spans="1:11" ht="15" thickBot="1" x14ac:dyDescent="0.35">
      <c r="A257" s="51"/>
      <c r="B257" s="27" t="s">
        <v>34</v>
      </c>
      <c r="C257" s="31">
        <f>IF(C256="","",IF(AND(MONTH(C256)&gt;=1,MONTH(C256)&lt;=3),1,IF(AND(MONTH(C256)&gt;=4,MONTH(C256)&lt;=6),2,IF(AND(MONTH(C256)&gt;=7,MONTH(C256)&lt;=9),3,4))))</f>
        <v>4</v>
      </c>
      <c r="D257" s="51"/>
      <c r="E257" s="29" t="s">
        <v>40</v>
      </c>
      <c r="F257" s="30" t="s">
        <v>39</v>
      </c>
      <c r="G257" s="24"/>
      <c r="H257" s="24"/>
      <c r="I257" s="24"/>
      <c r="J257" s="24"/>
      <c r="K257" s="24"/>
    </row>
    <row r="258" spans="1:11" ht="15" thickBot="1" x14ac:dyDescent="0.3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</row>
    <row r="259" spans="1:11" ht="15" thickBot="1" x14ac:dyDescent="0.35">
      <c r="A259" s="32" t="s">
        <v>41</v>
      </c>
      <c r="B259" s="32" t="s">
        <v>42</v>
      </c>
      <c r="C259" s="32" t="s">
        <v>43</v>
      </c>
      <c r="D259" s="32" t="s">
        <v>44</v>
      </c>
      <c r="E259" s="32" t="s">
        <v>45</v>
      </c>
      <c r="F259" s="32" t="s">
        <v>46</v>
      </c>
      <c r="G259" s="24"/>
      <c r="H259" s="24"/>
      <c r="I259" s="24"/>
      <c r="J259" s="24"/>
      <c r="K259" s="24"/>
    </row>
    <row r="260" spans="1:11" x14ac:dyDescent="0.3">
      <c r="A260" s="33" t="s">
        <v>176</v>
      </c>
      <c r="B260" s="34" t="str">
        <f ca="1">IFERROR(INDEX(UNSPSCDes,MATCH(INDIRECT(ADDRESS(ROW(),COLUMN()-1,4)),UNSPSCCode,0)),IF(INDIRECT(ADDRESS(ROW(),COLUMN()-1,4))="53111501","Botas para hombre",""))</f>
        <v>Botas para hombre</v>
      </c>
      <c r="C260" s="35" t="str">
        <f>IFERROR(VLOOKUP("UD",'[1]Informacion '!P:Q,2,FALSE),"")</f>
        <v>Unidad</v>
      </c>
      <c r="D260" s="33">
        <v>350</v>
      </c>
      <c r="E260" s="36">
        <v>3000</v>
      </c>
      <c r="F260" s="37">
        <f t="shared" ref="F260:F270" ca="1" si="7">INDIRECT(ADDRESS(ROW(),COLUMN()-2,4))*INDIRECT(ADDRESS(ROW(),COLUMN()-1,4))</f>
        <v>1050000</v>
      </c>
      <c r="G260" s="24"/>
      <c r="H260" s="24"/>
      <c r="I260" s="24"/>
      <c r="J260" s="24"/>
      <c r="K260" s="24"/>
    </row>
    <row r="261" spans="1:11" x14ac:dyDescent="0.3">
      <c r="A261" s="33" t="s">
        <v>177</v>
      </c>
      <c r="B261" s="34" t="str">
        <f ca="1">IFERROR(INDEX(UNSPSCDes,MATCH(INDIRECT(ADDRESS(ROW(),COLUMN()-1,4)),UNSPSCCode,0)),IF(INDIRECT(ADDRESS(ROW(),COLUMN()-1,4))="53103101","Chalecos para hombre",""))</f>
        <v>Chalecos para hombre</v>
      </c>
      <c r="C261" s="35" t="str">
        <f>IFERROR(VLOOKUP("UD",'[1]Informacion '!P:Q,2,FALSE),"")</f>
        <v>Unidad</v>
      </c>
      <c r="D261" s="33">
        <v>450</v>
      </c>
      <c r="E261" s="36">
        <v>3200</v>
      </c>
      <c r="F261" s="37">
        <f t="shared" ca="1" si="7"/>
        <v>1440000</v>
      </c>
      <c r="G261" s="24"/>
      <c r="H261" s="24"/>
      <c r="I261" s="24"/>
      <c r="J261" s="24"/>
      <c r="K261" s="24"/>
    </row>
    <row r="262" spans="1:11" x14ac:dyDescent="0.3">
      <c r="A262" s="33" t="s">
        <v>178</v>
      </c>
      <c r="B262" s="34" t="str">
        <f ca="1">IFERROR(INDEX(UNSPSCDes,MATCH(INDIRECT(ADDRESS(ROW(),COLUMN()-1,4)),UNSPSCCode,0)),IF(INDIRECT(ADDRESS(ROW(),COLUMN()-1,4))="53102516","Gorras",""))</f>
        <v>Gorras</v>
      </c>
      <c r="C262" s="35" t="str">
        <f>IFERROR(VLOOKUP("UD",'[1]Informacion '!P:Q,2,FALSE),"")</f>
        <v>Unidad</v>
      </c>
      <c r="D262" s="33">
        <v>350</v>
      </c>
      <c r="E262" s="36">
        <v>510</v>
      </c>
      <c r="F262" s="37">
        <f t="shared" ca="1" si="7"/>
        <v>178500</v>
      </c>
      <c r="G262" s="24"/>
      <c r="H262" s="24"/>
      <c r="I262" s="24"/>
      <c r="J262" s="24"/>
      <c r="K262" s="24"/>
    </row>
    <row r="263" spans="1:11" x14ac:dyDescent="0.3">
      <c r="A263" s="33" t="s">
        <v>179</v>
      </c>
      <c r="B263" s="34" t="str">
        <f ca="1">IFERROR(INDEX(UNSPSCDes,MATCH(INDIRECT(ADDRESS(ROW(),COLUMN()-1,4)),UNSPSCCode,0)),IF(INDIRECT(ADDRESS(ROW(),COLUMN()-1,4))="53102401","Medias largas",""))</f>
        <v>Medias largas</v>
      </c>
      <c r="C263" s="35" t="str">
        <f>IFERROR(VLOOKUP("UD",'[1]Informacion '!P:Q,2,FALSE),"")</f>
        <v>Unidad</v>
      </c>
      <c r="D263" s="33">
        <v>350</v>
      </c>
      <c r="E263" s="36">
        <v>125</v>
      </c>
      <c r="F263" s="37">
        <f t="shared" ca="1" si="7"/>
        <v>43750</v>
      </c>
      <c r="G263" s="24"/>
      <c r="H263" s="24"/>
      <c r="I263" s="24"/>
      <c r="J263" s="24"/>
      <c r="K263" s="24"/>
    </row>
    <row r="264" spans="1:11" x14ac:dyDescent="0.3">
      <c r="A264" s="33" t="s">
        <v>180</v>
      </c>
      <c r="B264" s="34" t="str">
        <f ca="1">IFERROR(INDEX(UNSPSCDes,MATCH(INDIRECT(ADDRESS(ROW(),COLUMN()-1,4)),UNSPSCCode,0)),IF(INDIRECT(ADDRESS(ROW(),COLUMN()-1,4))="53103001","Camisetas (t-shirts)",""))</f>
        <v>Camisetas (t-shirts)</v>
      </c>
      <c r="C264" s="35" t="str">
        <f>IFERROR(VLOOKUP("UD",'[1]Informacion '!P:Q,2,FALSE),"")</f>
        <v>Unidad</v>
      </c>
      <c r="D264" s="33">
        <v>350</v>
      </c>
      <c r="E264" s="36">
        <v>210</v>
      </c>
      <c r="F264" s="37">
        <f t="shared" ca="1" si="7"/>
        <v>73500</v>
      </c>
      <c r="G264" s="24"/>
      <c r="H264" s="24"/>
      <c r="I264" s="24"/>
      <c r="J264" s="24"/>
      <c r="K264" s="24"/>
    </row>
    <row r="265" spans="1:11" x14ac:dyDescent="0.3">
      <c r="A265" s="33" t="s">
        <v>181</v>
      </c>
      <c r="B265" s="34" t="str">
        <f ca="1">IFERROR(INDEX(UNSPSCDes,MATCH(INDIRECT(ADDRESS(ROW(),COLUMN()-1,4)),UNSPSCCode,0)),IF(INDIRECT(ADDRESS(ROW(),COLUMN()-1,4))="55121715","Banderas o accesorios",""))</f>
        <v>Banderas o accesorios</v>
      </c>
      <c r="C265" s="35" t="str">
        <f>IFERROR(VLOOKUP("UD",'[1]Informacion '!P:Q,2,FALSE),"")</f>
        <v>Unidad</v>
      </c>
      <c r="D265" s="33">
        <v>350</v>
      </c>
      <c r="E265" s="36">
        <v>115</v>
      </c>
      <c r="F265" s="37">
        <f t="shared" ca="1" si="7"/>
        <v>40250</v>
      </c>
      <c r="G265" s="24"/>
      <c r="H265" s="24"/>
      <c r="I265" s="24"/>
      <c r="J265" s="24"/>
      <c r="K265" s="24"/>
    </row>
    <row r="266" spans="1:11" x14ac:dyDescent="0.3">
      <c r="A266" s="33" t="s">
        <v>182</v>
      </c>
      <c r="B266" s="34" t="str">
        <f ca="1">IFERROR(INDEX(UNSPSCDes,MATCH(INDIRECT(ADDRESS(ROW(),COLUMN()-1,4)),UNSPSCCode,0)),IF(INDIRECT(ADDRESS(ROW(),COLUMN()-1,4))="31151903","Correas de fibra",""))</f>
        <v>Correas de fibra</v>
      </c>
      <c r="C266" s="35" t="str">
        <f>IFERROR(VLOOKUP("UD",'[1]Informacion '!P:Q,2,FALSE),"")</f>
        <v>Unidad</v>
      </c>
      <c r="D266" s="33">
        <v>350</v>
      </c>
      <c r="E266" s="36">
        <v>280</v>
      </c>
      <c r="F266" s="37">
        <f t="shared" ca="1" si="7"/>
        <v>98000</v>
      </c>
      <c r="G266" s="24"/>
      <c r="H266" s="24"/>
      <c r="I266" s="24"/>
      <c r="J266" s="24"/>
      <c r="K266" s="24"/>
    </row>
    <row r="267" spans="1:11" x14ac:dyDescent="0.3">
      <c r="A267" s="33" t="s">
        <v>181</v>
      </c>
      <c r="B267" s="34" t="str">
        <f ca="1">IFERROR(INDEX(UNSPSCDes,MATCH(INDIRECT(ADDRESS(ROW(),COLUMN()-1,4)),UNSPSCCode,0)),IF(INDIRECT(ADDRESS(ROW(),COLUMN()-1,4))="55121715","Banderas o accesorios",""))</f>
        <v>Banderas o accesorios</v>
      </c>
      <c r="C267" s="35" t="str">
        <f>IFERROR(VLOOKUP("UD",'[1]Informacion '!P:Q,2,FALSE),"")</f>
        <v>Unidad</v>
      </c>
      <c r="D267" s="33">
        <v>350</v>
      </c>
      <c r="E267" s="36">
        <v>115</v>
      </c>
      <c r="F267" s="37">
        <f t="shared" ca="1" si="7"/>
        <v>40250</v>
      </c>
      <c r="G267" s="24"/>
      <c r="H267" s="24"/>
      <c r="I267" s="24"/>
      <c r="J267" s="24"/>
      <c r="K267" s="24"/>
    </row>
    <row r="268" spans="1:11" x14ac:dyDescent="0.3">
      <c r="A268" s="33" t="s">
        <v>181</v>
      </c>
      <c r="B268" s="34" t="str">
        <f ca="1">IFERROR(INDEX(UNSPSCDes,MATCH(INDIRECT(ADDRESS(ROW(),COLUMN()-1,4)),UNSPSCCode,0)),IF(INDIRECT(ADDRESS(ROW(),COLUMN()-1,4))="55121715","Banderas o accesorios",""))</f>
        <v>Banderas o accesorios</v>
      </c>
      <c r="C268" s="35" t="str">
        <f>IFERROR(VLOOKUP("UD",'[1]Informacion '!P:Q,2,FALSE),"")</f>
        <v>Unidad</v>
      </c>
      <c r="D268" s="33">
        <v>350</v>
      </c>
      <c r="E268" s="36">
        <v>115</v>
      </c>
      <c r="F268" s="37">
        <f t="shared" ca="1" si="7"/>
        <v>40250</v>
      </c>
      <c r="G268" s="24"/>
      <c r="H268" s="24"/>
      <c r="I268" s="24"/>
      <c r="J268" s="24"/>
      <c r="K268" s="24"/>
    </row>
    <row r="269" spans="1:11" x14ac:dyDescent="0.3">
      <c r="A269" s="33" t="s">
        <v>181</v>
      </c>
      <c r="B269" s="34" t="str">
        <f ca="1">IFERROR(INDEX(UNSPSCDes,MATCH(INDIRECT(ADDRESS(ROW(),COLUMN()-1,4)),UNSPSCCode,0)),IF(INDIRECT(ADDRESS(ROW(),COLUMN()-1,4))="55121715","Banderas o accesorios",""))</f>
        <v>Banderas o accesorios</v>
      </c>
      <c r="C269" s="35" t="str">
        <f>IFERROR(VLOOKUP("UD",'[1]Informacion '!P:Q,2,FALSE),"")</f>
        <v>Unidad</v>
      </c>
      <c r="D269" s="33">
        <v>350</v>
      </c>
      <c r="E269" s="36">
        <v>115</v>
      </c>
      <c r="F269" s="37">
        <f t="shared" ca="1" si="7"/>
        <v>40250</v>
      </c>
      <c r="G269" s="24"/>
      <c r="H269" s="24"/>
      <c r="I269" s="24"/>
      <c r="J269" s="24"/>
      <c r="K269" s="24"/>
    </row>
    <row r="270" spans="1:11" x14ac:dyDescent="0.3">
      <c r="A270" s="33" t="s">
        <v>183</v>
      </c>
      <c r="B270" s="34" t="str">
        <f ca="1">IFERROR(INDEX(UNSPSCDes,MATCH(INDIRECT(ADDRESS(ROW(),COLUMN()-1,4)),UNSPSCCode,0)),IF(INDIRECT(ADDRESS(ROW(),COLUMN()-1,4))="53102710","Uniformes corporativos",""))</f>
        <v>Uniformes corporativos</v>
      </c>
      <c r="C270" s="35" t="str">
        <f>IFERROR(VLOOKUP("UD",'[1]Informacion '!P:Q,2,FALSE),"")</f>
        <v>Unidad</v>
      </c>
      <c r="D270" s="33">
        <v>350</v>
      </c>
      <c r="E270" s="36">
        <v>3500</v>
      </c>
      <c r="F270" s="37">
        <f t="shared" ca="1" si="7"/>
        <v>1225000</v>
      </c>
      <c r="G270" s="24"/>
      <c r="H270" s="24"/>
      <c r="I270" s="24"/>
      <c r="J270" s="24"/>
      <c r="K270" s="24"/>
    </row>
    <row r="271" spans="1:11" x14ac:dyDescent="0.3">
      <c r="A271" s="24"/>
      <c r="B271" s="24"/>
      <c r="C271" s="24"/>
      <c r="D271" s="24"/>
      <c r="E271" s="38" t="s">
        <v>49</v>
      </c>
      <c r="F271" s="39">
        <f ca="1">SUM(Table17[MONTO TOTAL ESTIMADO])</f>
        <v>4269750</v>
      </c>
      <c r="G271" s="24"/>
      <c r="H271" s="24" t="str">
        <f>C253</f>
        <v>Bienes</v>
      </c>
      <c r="I271" s="24" t="str">
        <f>E253</f>
        <v>No</v>
      </c>
      <c r="J271" s="24" t="str">
        <f>D253</f>
        <v>Comparacion de Precios</v>
      </c>
      <c r="K271" s="24"/>
    </row>
    <row r="272" spans="1:11" ht="15" thickBot="1" x14ac:dyDescent="0.3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</row>
    <row r="273" spans="1:11" ht="21" thickBot="1" x14ac:dyDescent="0.35">
      <c r="A273" s="25" t="s">
        <v>18</v>
      </c>
      <c r="B273" s="25" t="s">
        <v>19</v>
      </c>
      <c r="C273" s="25" t="s">
        <v>20</v>
      </c>
      <c r="D273" s="25" t="s">
        <v>21</v>
      </c>
      <c r="E273" s="25" t="s">
        <v>22</v>
      </c>
      <c r="F273" s="25" t="s">
        <v>23</v>
      </c>
      <c r="G273" s="24"/>
      <c r="H273" s="24"/>
      <c r="I273" s="24"/>
      <c r="J273" s="24"/>
      <c r="K273" s="24"/>
    </row>
    <row r="274" spans="1:11" ht="15" thickBot="1" x14ac:dyDescent="0.35">
      <c r="A274" s="26" t="s">
        <v>184</v>
      </c>
      <c r="B274" s="26" t="s">
        <v>65</v>
      </c>
      <c r="C274" s="26" t="s">
        <v>26</v>
      </c>
      <c r="D274" s="26" t="s">
        <v>52</v>
      </c>
      <c r="E274" s="26" t="s">
        <v>66</v>
      </c>
      <c r="F274" s="26"/>
      <c r="G274" s="24"/>
      <c r="H274" s="24"/>
      <c r="I274" s="24"/>
      <c r="J274" s="24"/>
      <c r="K274" s="24"/>
    </row>
    <row r="275" spans="1:11" ht="15" thickBot="1" x14ac:dyDescent="0.35">
      <c r="A275" s="50" t="s">
        <v>29</v>
      </c>
      <c r="B275" s="27" t="s">
        <v>30</v>
      </c>
      <c r="C275" s="28">
        <v>45201</v>
      </c>
      <c r="D275" s="50" t="s">
        <v>31</v>
      </c>
      <c r="E275" s="29" t="s">
        <v>32</v>
      </c>
      <c r="F275" s="30" t="s">
        <v>33</v>
      </c>
      <c r="G275" s="24"/>
      <c r="H275" s="24"/>
      <c r="I275" s="24"/>
      <c r="J275" s="24"/>
      <c r="K275" s="24"/>
    </row>
    <row r="276" spans="1:11" ht="15" thickBot="1" x14ac:dyDescent="0.35">
      <c r="A276" s="51"/>
      <c r="B276" s="27" t="s">
        <v>34</v>
      </c>
      <c r="C276" s="31">
        <f>IF(C275="","",IF(AND(MONTH(C275)&gt;=1,MONTH(C275)&lt;=3),1,IF(AND(MONTH(C275)&gt;=4,MONTH(C275)&lt;=6),2,IF(AND(MONTH(C275)&gt;=7,MONTH(C275)&lt;=9),3,4))))</f>
        <v>4</v>
      </c>
      <c r="D276" s="51"/>
      <c r="E276" s="29" t="s">
        <v>35</v>
      </c>
      <c r="F276" s="30" t="s">
        <v>36</v>
      </c>
      <c r="G276" s="24"/>
      <c r="H276" s="24"/>
      <c r="I276" s="24"/>
      <c r="J276" s="24"/>
      <c r="K276" s="24"/>
    </row>
    <row r="277" spans="1:11" ht="15" thickBot="1" x14ac:dyDescent="0.35">
      <c r="A277" s="51"/>
      <c r="B277" s="27" t="s">
        <v>37</v>
      </c>
      <c r="C277" s="28">
        <v>45289</v>
      </c>
      <c r="D277" s="51"/>
      <c r="E277" s="29" t="s">
        <v>38</v>
      </c>
      <c r="F277" s="30" t="s">
        <v>39</v>
      </c>
      <c r="G277" s="24"/>
      <c r="H277" s="24"/>
      <c r="I277" s="24"/>
      <c r="J277" s="24"/>
      <c r="K277" s="24"/>
    </row>
    <row r="278" spans="1:11" ht="15" thickBot="1" x14ac:dyDescent="0.35">
      <c r="A278" s="51"/>
      <c r="B278" s="27" t="s">
        <v>34</v>
      </c>
      <c r="C278" s="31">
        <f>IF(C277="","",IF(AND(MONTH(C277)&gt;=1,MONTH(C277)&lt;=3),1,IF(AND(MONTH(C277)&gt;=4,MONTH(C277)&lt;=6),2,IF(AND(MONTH(C277)&gt;=7,MONTH(C277)&lt;=9),3,4))))</f>
        <v>4</v>
      </c>
      <c r="D278" s="51"/>
      <c r="E278" s="29" t="s">
        <v>40</v>
      </c>
      <c r="F278" s="30" t="s">
        <v>39</v>
      </c>
      <c r="G278" s="24"/>
      <c r="H278" s="24"/>
      <c r="I278" s="24"/>
      <c r="J278" s="24"/>
      <c r="K278" s="24"/>
    </row>
    <row r="279" spans="1:11" ht="15" thickBot="1" x14ac:dyDescent="0.3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</row>
    <row r="280" spans="1:11" ht="15" thickBot="1" x14ac:dyDescent="0.35">
      <c r="A280" s="32" t="s">
        <v>41</v>
      </c>
      <c r="B280" s="32" t="s">
        <v>42</v>
      </c>
      <c r="C280" s="32" t="s">
        <v>43</v>
      </c>
      <c r="D280" s="32" t="s">
        <v>44</v>
      </c>
      <c r="E280" s="32" t="s">
        <v>45</v>
      </c>
      <c r="F280" s="32" t="s">
        <v>46</v>
      </c>
      <c r="G280" s="24"/>
      <c r="H280" s="24"/>
      <c r="I280" s="24"/>
      <c r="J280" s="24"/>
      <c r="K280" s="24"/>
    </row>
    <row r="281" spans="1:11" x14ac:dyDescent="0.3">
      <c r="A281" s="33" t="s">
        <v>185</v>
      </c>
      <c r="B281" s="34" t="str">
        <f ca="1">IFERROR(INDEX(UNSPSCDes,MATCH(INDIRECT(ADDRESS(ROW(),COLUMN()-1,4)),UNSPSCCode,0)),IF(INDIRECT(ADDRESS(ROW(),COLUMN()-1,4))="26111703","Baterías para vehículos",""))</f>
        <v>Baterías para vehículos</v>
      </c>
      <c r="C281" s="35" t="str">
        <f>IFERROR(VLOOKUP("UD",'[1]Informacion '!P:Q,2,FALSE),"")</f>
        <v>Unidad</v>
      </c>
      <c r="D281" s="33">
        <v>20</v>
      </c>
      <c r="E281" s="36">
        <v>7000</v>
      </c>
      <c r="F281" s="37">
        <f ca="1">INDIRECT(ADDRESS(ROW(),COLUMN()-2,4))*INDIRECT(ADDRESS(ROW(),COLUMN()-1,4))</f>
        <v>140000</v>
      </c>
      <c r="G281" s="24"/>
      <c r="H281" s="24"/>
      <c r="I281" s="24"/>
      <c r="J281" s="24"/>
      <c r="K281" s="24"/>
    </row>
    <row r="282" spans="1:11" x14ac:dyDescent="0.3">
      <c r="A282" s="33" t="s">
        <v>186</v>
      </c>
      <c r="B282" s="34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82" s="35" t="str">
        <f>IFERROR(VLOOKUP("UD",'[1]Informacion '!P:Q,2,FALSE),"")</f>
        <v>Unidad</v>
      </c>
      <c r="D282" s="33">
        <v>30</v>
      </c>
      <c r="E282" s="36">
        <v>7000</v>
      </c>
      <c r="F282" s="37">
        <f ca="1">INDIRECT(ADDRESS(ROW(),COLUMN()-2,4))*INDIRECT(ADDRESS(ROW(),COLUMN()-1,4))</f>
        <v>210000</v>
      </c>
      <c r="G282" s="24"/>
      <c r="H282" s="24"/>
      <c r="I282" s="24"/>
      <c r="J282" s="24"/>
      <c r="K282" s="24"/>
    </row>
    <row r="283" spans="1:11" x14ac:dyDescent="0.3">
      <c r="A283" s="24"/>
      <c r="B283" s="24"/>
      <c r="C283" s="24"/>
      <c r="D283" s="24"/>
      <c r="E283" s="38" t="s">
        <v>49</v>
      </c>
      <c r="F283" s="39">
        <f ca="1">SUM(Table18[MONTO TOTAL ESTIMADO])</f>
        <v>350000</v>
      </c>
      <c r="G283" s="24"/>
      <c r="H283" s="24" t="str">
        <f>C274</f>
        <v>Bienes</v>
      </c>
      <c r="I283" s="24" t="str">
        <f>E274</f>
        <v>Sí</v>
      </c>
      <c r="J283" s="24" t="str">
        <f>D274</f>
        <v>Compras Menores</v>
      </c>
      <c r="K283" s="24"/>
    </row>
    <row r="284" spans="1:11" ht="15" thickBot="1" x14ac:dyDescent="0.3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</row>
    <row r="285" spans="1:11" ht="21" thickBot="1" x14ac:dyDescent="0.35">
      <c r="A285" s="25" t="s">
        <v>18</v>
      </c>
      <c r="B285" s="25" t="s">
        <v>19</v>
      </c>
      <c r="C285" s="25" t="s">
        <v>20</v>
      </c>
      <c r="D285" s="25" t="s">
        <v>21</v>
      </c>
      <c r="E285" s="25" t="s">
        <v>22</v>
      </c>
      <c r="F285" s="25" t="s">
        <v>23</v>
      </c>
      <c r="G285" s="24"/>
      <c r="H285" s="24"/>
      <c r="I285" s="24"/>
      <c r="J285" s="24"/>
      <c r="K285" s="24"/>
    </row>
    <row r="286" spans="1:11" ht="15" thickBot="1" x14ac:dyDescent="0.35">
      <c r="A286" s="26" t="s">
        <v>187</v>
      </c>
      <c r="B286" s="26" t="s">
        <v>65</v>
      </c>
      <c r="C286" s="26" t="s">
        <v>26</v>
      </c>
      <c r="D286" s="26" t="s">
        <v>52</v>
      </c>
      <c r="E286" s="26" t="s">
        <v>28</v>
      </c>
      <c r="F286" s="26"/>
      <c r="G286" s="24"/>
      <c r="H286" s="24"/>
      <c r="I286" s="24"/>
      <c r="J286" s="24"/>
      <c r="K286" s="24"/>
    </row>
    <row r="287" spans="1:11" ht="15" thickBot="1" x14ac:dyDescent="0.35">
      <c r="A287" s="50" t="s">
        <v>29</v>
      </c>
      <c r="B287" s="27" t="s">
        <v>30</v>
      </c>
      <c r="C287" s="28">
        <v>44942</v>
      </c>
      <c r="D287" s="50" t="s">
        <v>31</v>
      </c>
      <c r="E287" s="29" t="s">
        <v>32</v>
      </c>
      <c r="F287" s="30" t="s">
        <v>33</v>
      </c>
      <c r="G287" s="24"/>
      <c r="H287" s="24"/>
      <c r="I287" s="24"/>
      <c r="J287" s="24"/>
      <c r="K287" s="24"/>
    </row>
    <row r="288" spans="1:11" ht="15" thickBot="1" x14ac:dyDescent="0.35">
      <c r="A288" s="51"/>
      <c r="B288" s="27" t="s">
        <v>34</v>
      </c>
      <c r="C288" s="31">
        <f>IF(C287="","",IF(AND(MONTH(C287)&gt;=1,MONTH(C287)&lt;=3),1,IF(AND(MONTH(C287)&gt;=4,MONTH(C287)&lt;=6),2,IF(AND(MONTH(C287)&gt;=7,MONTH(C287)&lt;=9),3,4))))</f>
        <v>1</v>
      </c>
      <c r="D288" s="51"/>
      <c r="E288" s="29" t="s">
        <v>35</v>
      </c>
      <c r="F288" s="30" t="s">
        <v>36</v>
      </c>
      <c r="G288" s="24"/>
      <c r="H288" s="24"/>
      <c r="I288" s="24"/>
      <c r="J288" s="24"/>
      <c r="K288" s="24"/>
    </row>
    <row r="289" spans="1:11" ht="15" thickBot="1" x14ac:dyDescent="0.35">
      <c r="A289" s="51"/>
      <c r="B289" s="27" t="s">
        <v>37</v>
      </c>
      <c r="C289" s="28">
        <v>45016</v>
      </c>
      <c r="D289" s="51"/>
      <c r="E289" s="29" t="s">
        <v>38</v>
      </c>
      <c r="F289" s="30" t="s">
        <v>39</v>
      </c>
      <c r="G289" s="24"/>
      <c r="H289" s="24"/>
      <c r="I289" s="24"/>
      <c r="J289" s="24"/>
      <c r="K289" s="24"/>
    </row>
    <row r="290" spans="1:11" ht="15" thickBot="1" x14ac:dyDescent="0.35">
      <c r="A290" s="51"/>
      <c r="B290" s="27" t="s">
        <v>34</v>
      </c>
      <c r="C290" s="31">
        <f>IF(C289="","",IF(AND(MONTH(C289)&gt;=1,MONTH(C289)&lt;=3),1,IF(AND(MONTH(C289)&gt;=4,MONTH(C289)&lt;=6),2,IF(AND(MONTH(C289)&gt;=7,MONTH(C289)&lt;=9),3,4))))</f>
        <v>1</v>
      </c>
      <c r="D290" s="51"/>
      <c r="E290" s="29" t="s">
        <v>40</v>
      </c>
      <c r="F290" s="30" t="s">
        <v>39</v>
      </c>
      <c r="G290" s="24"/>
      <c r="H290" s="24"/>
      <c r="I290" s="24"/>
      <c r="J290" s="24"/>
      <c r="K290" s="24"/>
    </row>
    <row r="291" spans="1:11" ht="15" thickBot="1" x14ac:dyDescent="0.3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</row>
    <row r="292" spans="1:11" ht="15" thickBot="1" x14ac:dyDescent="0.35">
      <c r="A292" s="32" t="s">
        <v>41</v>
      </c>
      <c r="B292" s="32" t="s">
        <v>42</v>
      </c>
      <c r="C292" s="32" t="s">
        <v>43</v>
      </c>
      <c r="D292" s="32" t="s">
        <v>44</v>
      </c>
      <c r="E292" s="32" t="s">
        <v>45</v>
      </c>
      <c r="F292" s="32" t="s">
        <v>46</v>
      </c>
      <c r="G292" s="24"/>
      <c r="H292" s="24"/>
      <c r="I292" s="24"/>
      <c r="J292" s="24"/>
      <c r="K292" s="24"/>
    </row>
    <row r="293" spans="1:11" x14ac:dyDescent="0.3">
      <c r="A293" s="33" t="s">
        <v>188</v>
      </c>
      <c r="B293" s="34" t="str">
        <f ca="1">IFERROR(INDEX(UNSPSCDes,MATCH(INDIRECT(ADDRESS(ROW(),COLUMN()-1,4)),UNSPSCCode,0)),IF(INDIRECT(ADDRESS(ROW(),COLUMN()-1,4))="52141533","Planchas eléctricas para uso doméstico",""))</f>
        <v>Planchas eléctricas para uso doméstico</v>
      </c>
      <c r="C293" s="35" t="str">
        <f>IFERROR(VLOOKUP("UD",'[1]Informacion '!P:Q,2,FALSE),"")</f>
        <v>Unidad</v>
      </c>
      <c r="D293" s="33">
        <v>4</v>
      </c>
      <c r="E293" s="36">
        <v>550</v>
      </c>
      <c r="F293" s="37">
        <f t="shared" ref="F293:F308" ca="1" si="8">INDIRECT(ADDRESS(ROW(),COLUMN()-2,4))*INDIRECT(ADDRESS(ROW(),COLUMN()-1,4))</f>
        <v>2200</v>
      </c>
      <c r="G293" s="24"/>
      <c r="H293" s="24"/>
      <c r="I293" s="24"/>
      <c r="J293" s="24"/>
      <c r="K293" s="24"/>
    </row>
    <row r="294" spans="1:11" x14ac:dyDescent="0.3">
      <c r="A294" s="33" t="s">
        <v>189</v>
      </c>
      <c r="B294" s="34" t="str">
        <f ca="1">IFERROR(INDEX(UNSPSCDes,MATCH(INDIRECT(ADDRESS(ROW(),COLUMN()-1,4)),UNSPSCCode,0)),IF(INDIRECT(ADDRESS(ROW(),COLUMN()-1,4))="52141522","Tostadoras para uso doméstico",""))</f>
        <v>Tostadoras para uso doméstico</v>
      </c>
      <c r="C294" s="35" t="str">
        <f>IFERROR(VLOOKUP("UD",'[1]Informacion '!P:Q,2,FALSE),"")</f>
        <v>Unidad</v>
      </c>
      <c r="D294" s="33">
        <v>5</v>
      </c>
      <c r="E294" s="36">
        <v>750</v>
      </c>
      <c r="F294" s="37">
        <f t="shared" ca="1" si="8"/>
        <v>3750</v>
      </c>
      <c r="G294" s="24"/>
      <c r="H294" s="24"/>
      <c r="I294" s="24"/>
      <c r="J294" s="24"/>
      <c r="K294" s="24"/>
    </row>
    <row r="295" spans="1:11" x14ac:dyDescent="0.3">
      <c r="A295" s="33" t="s">
        <v>190</v>
      </c>
      <c r="B295" s="34" t="str">
        <f ca="1">IFERROR(INDEX(UNSPSCDes,MATCH(INDIRECT(ADDRESS(ROW(),COLUMN()-1,4)),UNSPSCCode,0)),IF(INDIRECT(ADDRESS(ROW(),COLUMN()-1,4))="52141524","Licuadoras para uso doméstico",""))</f>
        <v>Licuadoras para uso doméstico</v>
      </c>
      <c r="C295" s="35" t="str">
        <f>IFERROR(VLOOKUP("UD",'[1]Informacion '!P:Q,2,FALSE),"")</f>
        <v>Unidad</v>
      </c>
      <c r="D295" s="33">
        <v>5</v>
      </c>
      <c r="E295" s="36">
        <v>1500</v>
      </c>
      <c r="F295" s="37">
        <f t="shared" ca="1" si="8"/>
        <v>7500</v>
      </c>
      <c r="G295" s="24"/>
      <c r="H295" s="24"/>
      <c r="I295" s="24"/>
      <c r="J295" s="24"/>
      <c r="K295" s="24"/>
    </row>
    <row r="296" spans="1:11" x14ac:dyDescent="0.3">
      <c r="A296" s="33" t="s">
        <v>191</v>
      </c>
      <c r="B296" s="34" t="str">
        <f ca="1">IFERROR(INDEX(UNSPSCDes,MATCH(INDIRECT(ADDRESS(ROW(),COLUMN()-1,4)),UNSPSCCode,0)),IF(INDIRECT(ADDRESS(ROW(),COLUMN()-1,4))="52141526","Cafeteras para uso doméstico",""))</f>
        <v>Cafeteras para uso doméstico</v>
      </c>
      <c r="C296" s="35" t="str">
        <f>IFERROR(VLOOKUP("UD",'[1]Informacion '!P:Q,2,FALSE),"")</f>
        <v>Unidad</v>
      </c>
      <c r="D296" s="33">
        <v>4</v>
      </c>
      <c r="E296" s="36">
        <v>2500</v>
      </c>
      <c r="F296" s="37">
        <f t="shared" ca="1" si="8"/>
        <v>10000</v>
      </c>
      <c r="G296" s="24"/>
      <c r="H296" s="24"/>
      <c r="I296" s="24"/>
      <c r="J296" s="24"/>
      <c r="K296" s="24"/>
    </row>
    <row r="297" spans="1:11" x14ac:dyDescent="0.3">
      <c r="A297" s="33" t="s">
        <v>192</v>
      </c>
      <c r="B297" s="34" t="str">
        <f ca="1">IFERROR(INDEX(UNSPSCDes,MATCH(INDIRECT(ADDRESS(ROW(),COLUMN()-1,4)),UNSPSCCode,0)),IF(INDIRECT(ADDRESS(ROW(),COLUMN()-1,4))="52141538","Calienta comidas para uso doméstico",""))</f>
        <v>Calienta comidas para uso doméstico</v>
      </c>
      <c r="C297" s="35" t="str">
        <f>IFERROR(VLOOKUP("UD",'[1]Informacion '!P:Q,2,FALSE),"")</f>
        <v>Unidad</v>
      </c>
      <c r="D297" s="33">
        <v>4</v>
      </c>
      <c r="E297" s="36">
        <v>4500</v>
      </c>
      <c r="F297" s="37">
        <f t="shared" ca="1" si="8"/>
        <v>18000</v>
      </c>
      <c r="G297" s="24"/>
      <c r="H297" s="24"/>
      <c r="I297" s="24"/>
      <c r="J297" s="24"/>
      <c r="K297" s="24"/>
    </row>
    <row r="298" spans="1:11" x14ac:dyDescent="0.3">
      <c r="A298" s="33" t="s">
        <v>193</v>
      </c>
      <c r="B298" s="34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298" s="35" t="str">
        <f>IFERROR(VLOOKUP("UD",'[1]Informacion '!P:Q,2,FALSE),"")</f>
        <v>Unidad</v>
      </c>
      <c r="D298" s="33">
        <v>3</v>
      </c>
      <c r="E298" s="36">
        <v>7500</v>
      </c>
      <c r="F298" s="37">
        <f t="shared" ca="1" si="8"/>
        <v>22500</v>
      </c>
      <c r="G298" s="24"/>
      <c r="H298" s="24"/>
      <c r="I298" s="24"/>
      <c r="J298" s="24"/>
      <c r="K298" s="24"/>
    </row>
    <row r="299" spans="1:11" x14ac:dyDescent="0.3">
      <c r="A299" s="33" t="s">
        <v>194</v>
      </c>
      <c r="B299" s="34" t="str">
        <f ca="1">IFERROR(INDEX(UNSPSCDes,MATCH(INDIRECT(ADDRESS(ROW(),COLUMN()-1,4)),UNSPSCCode,0)),IF(INDIRECT(ADDRESS(ROW(),COLUMN()-1,4))="52161505","Televisores",""))</f>
        <v>Televisores</v>
      </c>
      <c r="C299" s="35" t="str">
        <f>IFERROR(VLOOKUP("UD",'[1]Informacion '!P:Q,2,FALSE),"")</f>
        <v>Unidad</v>
      </c>
      <c r="D299" s="33">
        <v>5</v>
      </c>
      <c r="E299" s="36">
        <v>14500</v>
      </c>
      <c r="F299" s="37">
        <f t="shared" ca="1" si="8"/>
        <v>72500</v>
      </c>
      <c r="G299" s="24"/>
      <c r="H299" s="24"/>
      <c r="I299" s="24"/>
      <c r="J299" s="24"/>
      <c r="K299" s="24"/>
    </row>
    <row r="300" spans="1:11" x14ac:dyDescent="0.3">
      <c r="A300" s="33" t="s">
        <v>195</v>
      </c>
      <c r="B300" s="34" t="str">
        <f ca="1">IFERROR(INDEX(UNSPSCDes,MATCH(INDIRECT(ADDRESS(ROW(),COLUMN()-1,4)),UNSPSCCode,0)),IF(INDIRECT(ADDRESS(ROW(),COLUMN()-1,4))="52161507","Radios reloj",""))</f>
        <v>Radios reloj</v>
      </c>
      <c r="C300" s="35" t="str">
        <f>IFERROR(VLOOKUP("UD",'[1]Informacion '!P:Q,2,FALSE),"")</f>
        <v>Unidad</v>
      </c>
      <c r="D300" s="33">
        <v>5</v>
      </c>
      <c r="E300" s="36">
        <v>12000</v>
      </c>
      <c r="F300" s="37">
        <f t="shared" ca="1" si="8"/>
        <v>60000</v>
      </c>
      <c r="G300" s="24"/>
      <c r="H300" s="24"/>
      <c r="I300" s="24"/>
      <c r="J300" s="24"/>
      <c r="K300" s="24"/>
    </row>
    <row r="301" spans="1:11" x14ac:dyDescent="0.3">
      <c r="A301" s="33" t="s">
        <v>196</v>
      </c>
      <c r="B301" s="34" t="str">
        <f ca="1">IFERROR(INDEX(UNSPSCDes,MATCH(INDIRECT(ADDRESS(ROW(),COLUMN()-1,4)),UNSPSCCode,0)),IF(INDIRECT(ADDRESS(ROW(),COLUMN()-1,4))="52152015","Plato para ponqués con tapa para uso doméstico",""))</f>
        <v>Plato para ponqués con tapa para uso doméstico</v>
      </c>
      <c r="C301" s="35" t="str">
        <f>IFERROR(VLOOKUP("UD",'[1]Informacion '!P:Q,2,FALSE),"")</f>
        <v>Unidad</v>
      </c>
      <c r="D301" s="33">
        <v>15</v>
      </c>
      <c r="E301" s="36">
        <v>600</v>
      </c>
      <c r="F301" s="37">
        <f t="shared" ca="1" si="8"/>
        <v>9000</v>
      </c>
      <c r="G301" s="24"/>
      <c r="H301" s="24"/>
      <c r="I301" s="24"/>
      <c r="J301" s="24"/>
      <c r="K301" s="24"/>
    </row>
    <row r="302" spans="1:11" x14ac:dyDescent="0.3">
      <c r="A302" s="33" t="s">
        <v>197</v>
      </c>
      <c r="B302" s="3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2" s="35" t="str">
        <f>IFERROR(VLOOKUP("UD",'[1]Informacion '!P:Q,2,FALSE),"")</f>
        <v>Unidad</v>
      </c>
      <c r="D302" s="33">
        <v>5</v>
      </c>
      <c r="E302" s="36">
        <v>350</v>
      </c>
      <c r="F302" s="37">
        <f t="shared" ca="1" si="8"/>
        <v>1750</v>
      </c>
      <c r="G302" s="24"/>
      <c r="H302" s="24"/>
      <c r="I302" s="24"/>
      <c r="J302" s="24"/>
      <c r="K302" s="24"/>
    </row>
    <row r="303" spans="1:11" x14ac:dyDescent="0.3">
      <c r="A303" s="33" t="s">
        <v>198</v>
      </c>
      <c r="B303" s="34"/>
      <c r="C303" s="35" t="str">
        <f>IFERROR(VLOOKUP("UD",'[1]Informacion '!P:Q,2,FALSE),"")</f>
        <v>Unidad</v>
      </c>
      <c r="D303" s="33">
        <v>5</v>
      </c>
      <c r="E303" s="36">
        <v>350</v>
      </c>
      <c r="F303" s="37">
        <f t="shared" ca="1" si="8"/>
        <v>1750</v>
      </c>
      <c r="G303" s="24"/>
      <c r="H303" s="24"/>
      <c r="I303" s="24"/>
      <c r="J303" s="24"/>
      <c r="K303" s="24"/>
    </row>
    <row r="304" spans="1:11" x14ac:dyDescent="0.3">
      <c r="A304" s="33" t="s">
        <v>199</v>
      </c>
      <c r="B304" s="34" t="str">
        <f ca="1">IFERROR(INDEX(UNSPSCDes,MATCH(INDIRECT(ADDRESS(ROW(),COLUMN()-1,4)),UNSPSCCode,0)),IF(INDIRECT(ADDRESS(ROW(),COLUMN()-1,4))="52152104","Copas para uso doméstico",""))</f>
        <v>Copas para uso doméstico</v>
      </c>
      <c r="C304" s="35" t="str">
        <f>IFERROR(VLOOKUP("UD",'[1]Informacion '!P:Q,2,FALSE),"")</f>
        <v>Unidad</v>
      </c>
      <c r="D304" s="33">
        <v>5</v>
      </c>
      <c r="E304" s="36">
        <v>450</v>
      </c>
      <c r="F304" s="37">
        <f t="shared" ca="1" si="8"/>
        <v>2250</v>
      </c>
      <c r="G304" s="24"/>
      <c r="H304" s="24"/>
      <c r="I304" s="24"/>
      <c r="J304" s="24"/>
      <c r="K304" s="24"/>
    </row>
    <row r="305" spans="1:11" x14ac:dyDescent="0.3">
      <c r="A305" s="33" t="s">
        <v>200</v>
      </c>
      <c r="B305" s="34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305" s="35" t="str">
        <f>IFERROR(VLOOKUP("UD",'[1]Informacion '!P:Q,2,FALSE),"")</f>
        <v>Unidad</v>
      </c>
      <c r="D305" s="33">
        <v>5</v>
      </c>
      <c r="E305" s="36">
        <v>15000</v>
      </c>
      <c r="F305" s="37">
        <f t="shared" ca="1" si="8"/>
        <v>75000</v>
      </c>
      <c r="G305" s="24"/>
      <c r="H305" s="24"/>
      <c r="I305" s="24"/>
      <c r="J305" s="24"/>
      <c r="K305" s="24"/>
    </row>
    <row r="306" spans="1:11" x14ac:dyDescent="0.3">
      <c r="A306" s="33" t="s">
        <v>201</v>
      </c>
      <c r="B306" s="34" t="str">
        <f ca="1">IFERROR(INDEX(UNSPSCDes,MATCH(INDIRECT(ADDRESS(ROW(),COLUMN()-1,4)),UNSPSCCode,0)),IF(INDIRECT(ADDRESS(ROW(),COLUMN()-1,4))="52141501","Neveras para uso doméstico",""))</f>
        <v>Neveras para uso doméstico</v>
      </c>
      <c r="C306" s="35" t="str">
        <f>IFERROR(VLOOKUP("UD",'[1]Informacion '!P:Q,2,FALSE),"")</f>
        <v>Unidad</v>
      </c>
      <c r="D306" s="33">
        <v>10</v>
      </c>
      <c r="E306" s="36">
        <v>15000</v>
      </c>
      <c r="F306" s="37">
        <f t="shared" ca="1" si="8"/>
        <v>150000</v>
      </c>
      <c r="G306" s="24"/>
      <c r="H306" s="24"/>
      <c r="I306" s="24"/>
      <c r="J306" s="24"/>
      <c r="K306" s="24"/>
    </row>
    <row r="307" spans="1:11" x14ac:dyDescent="0.3">
      <c r="A307" s="33" t="s">
        <v>202</v>
      </c>
      <c r="B307" s="34" t="str">
        <f ca="1">IFERROR(INDEX(UNSPSCDes,MATCH(INDIRECT(ADDRESS(ROW(),COLUMN()-1,4)),UNSPSCCode,0)),IF(INDIRECT(ADDRESS(ROW(),COLUMN()-1,4))="25174001","Ventilador",""))</f>
        <v>Ventilador</v>
      </c>
      <c r="C307" s="35" t="str">
        <f>IFERROR(VLOOKUP("UD",'[1]Informacion '!P:Q,2,FALSE),"")</f>
        <v>Unidad</v>
      </c>
      <c r="D307" s="33">
        <v>15</v>
      </c>
      <c r="E307" s="36">
        <v>4500</v>
      </c>
      <c r="F307" s="37">
        <f t="shared" ca="1" si="8"/>
        <v>67500</v>
      </c>
      <c r="G307" s="24"/>
      <c r="H307" s="24"/>
      <c r="I307" s="24"/>
      <c r="J307" s="24"/>
      <c r="K307" s="24"/>
    </row>
    <row r="308" spans="1:11" x14ac:dyDescent="0.3">
      <c r="A308" s="33" t="s">
        <v>203</v>
      </c>
      <c r="B308" s="34" t="str">
        <f ca="1">IFERROR(INDEX(UNSPSCDes,MATCH(INDIRECT(ADDRESS(ROW(),COLUMN()-1,4)),UNSPSCCode,0)),IF(INDIRECT(ADDRESS(ROW(),COLUMN()-1,4))="40101808","Estufas de calefacción",""))</f>
        <v>Estufas de calefacción</v>
      </c>
      <c r="C308" s="35" t="str">
        <f>IFERROR(VLOOKUP("UD",'[1]Informacion '!P:Q,2,FALSE),"")</f>
        <v>Unidad</v>
      </c>
      <c r="D308" s="33">
        <v>10</v>
      </c>
      <c r="E308" s="36">
        <v>10000</v>
      </c>
      <c r="F308" s="37">
        <f t="shared" ca="1" si="8"/>
        <v>100000</v>
      </c>
      <c r="G308" s="24"/>
      <c r="H308" s="24"/>
      <c r="I308" s="24"/>
      <c r="J308" s="24"/>
      <c r="K308" s="24"/>
    </row>
    <row r="309" spans="1:11" x14ac:dyDescent="0.3">
      <c r="A309" s="24"/>
      <c r="B309" s="24"/>
      <c r="C309" s="24"/>
      <c r="D309" s="24"/>
      <c r="E309" s="38" t="s">
        <v>49</v>
      </c>
      <c r="F309" s="39">
        <f ca="1">SUM(Table19[MONTO TOTAL ESTIMADO])</f>
        <v>603700</v>
      </c>
      <c r="G309" s="24"/>
      <c r="H309" s="24" t="str">
        <f>C286</f>
        <v>Bienes</v>
      </c>
      <c r="I309" s="24" t="str">
        <f>E286</f>
        <v>No</v>
      </c>
      <c r="J309" s="24" t="str">
        <f>D286</f>
        <v>Compras Menores</v>
      </c>
      <c r="K309" s="24"/>
    </row>
    <row r="310" spans="1:11" ht="15" thickBot="1" x14ac:dyDescent="0.3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</row>
    <row r="311" spans="1:11" ht="21" thickBot="1" x14ac:dyDescent="0.35">
      <c r="A311" s="25" t="s">
        <v>18</v>
      </c>
      <c r="B311" s="25" t="s">
        <v>19</v>
      </c>
      <c r="C311" s="25" t="s">
        <v>20</v>
      </c>
      <c r="D311" s="25" t="s">
        <v>21</v>
      </c>
      <c r="E311" s="25" t="s">
        <v>22</v>
      </c>
      <c r="F311" s="25" t="s">
        <v>23</v>
      </c>
      <c r="G311" s="24"/>
      <c r="H311" s="24"/>
      <c r="I311" s="24"/>
      <c r="J311" s="24"/>
      <c r="K311" s="24"/>
    </row>
    <row r="312" spans="1:11" ht="15" thickBot="1" x14ac:dyDescent="0.35">
      <c r="A312" s="26" t="s">
        <v>204</v>
      </c>
      <c r="B312" s="26" t="s">
        <v>65</v>
      </c>
      <c r="C312" s="26" t="s">
        <v>26</v>
      </c>
      <c r="D312" s="26" t="s">
        <v>52</v>
      </c>
      <c r="E312" s="26" t="s">
        <v>66</v>
      </c>
      <c r="F312" s="26"/>
      <c r="G312" s="24"/>
      <c r="H312" s="24"/>
      <c r="I312" s="24"/>
      <c r="J312" s="24"/>
      <c r="K312" s="24"/>
    </row>
    <row r="313" spans="1:11" ht="15" thickBot="1" x14ac:dyDescent="0.35">
      <c r="A313" s="50" t="s">
        <v>29</v>
      </c>
      <c r="B313" s="27" t="s">
        <v>30</v>
      </c>
      <c r="C313" s="28">
        <v>45110</v>
      </c>
      <c r="D313" s="50" t="s">
        <v>31</v>
      </c>
      <c r="E313" s="29" t="s">
        <v>32</v>
      </c>
      <c r="F313" s="30" t="s">
        <v>33</v>
      </c>
      <c r="G313" s="24"/>
      <c r="H313" s="24"/>
      <c r="I313" s="24"/>
      <c r="J313" s="24"/>
      <c r="K313" s="24"/>
    </row>
    <row r="314" spans="1:11" ht="15" thickBot="1" x14ac:dyDescent="0.35">
      <c r="A314" s="51"/>
      <c r="B314" s="27" t="s">
        <v>34</v>
      </c>
      <c r="C314" s="31">
        <f>IF(C313="","",IF(AND(MONTH(C313)&gt;=1,MONTH(C313)&lt;=3),1,IF(AND(MONTH(C313)&gt;=4,MONTH(C313)&lt;=6),2,IF(AND(MONTH(C313)&gt;=7,MONTH(C313)&lt;=9),3,4))))</f>
        <v>3</v>
      </c>
      <c r="D314" s="51"/>
      <c r="E314" s="29" t="s">
        <v>35</v>
      </c>
      <c r="F314" s="30" t="s">
        <v>36</v>
      </c>
      <c r="G314" s="24"/>
      <c r="H314" s="24"/>
      <c r="I314" s="24"/>
      <c r="J314" s="24"/>
      <c r="K314" s="24"/>
    </row>
    <row r="315" spans="1:11" ht="15" thickBot="1" x14ac:dyDescent="0.35">
      <c r="A315" s="51"/>
      <c r="B315" s="27" t="s">
        <v>37</v>
      </c>
      <c r="C315" s="28">
        <v>45289</v>
      </c>
      <c r="D315" s="51"/>
      <c r="E315" s="29" t="s">
        <v>38</v>
      </c>
      <c r="F315" s="30" t="s">
        <v>39</v>
      </c>
      <c r="G315" s="24"/>
      <c r="H315" s="24"/>
      <c r="I315" s="24"/>
      <c r="J315" s="24"/>
      <c r="K315" s="24"/>
    </row>
    <row r="316" spans="1:11" ht="15" thickBot="1" x14ac:dyDescent="0.35">
      <c r="A316" s="51"/>
      <c r="B316" s="27" t="s">
        <v>34</v>
      </c>
      <c r="C316" s="31">
        <f>IF(C315="","",IF(AND(MONTH(C315)&gt;=1,MONTH(C315)&lt;=3),1,IF(AND(MONTH(C315)&gt;=4,MONTH(C315)&lt;=6),2,IF(AND(MONTH(C315)&gt;=7,MONTH(C315)&lt;=9),3,4))))</f>
        <v>4</v>
      </c>
      <c r="D316" s="51"/>
      <c r="E316" s="29" t="s">
        <v>40</v>
      </c>
      <c r="F316" s="30" t="s">
        <v>39</v>
      </c>
      <c r="G316" s="24"/>
      <c r="H316" s="24"/>
      <c r="I316" s="24"/>
      <c r="J316" s="24"/>
      <c r="K316" s="24"/>
    </row>
    <row r="317" spans="1:11" ht="15" thickBot="1" x14ac:dyDescent="0.3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</row>
    <row r="318" spans="1:11" ht="15" thickBot="1" x14ac:dyDescent="0.35">
      <c r="A318" s="32" t="s">
        <v>41</v>
      </c>
      <c r="B318" s="32" t="s">
        <v>42</v>
      </c>
      <c r="C318" s="32" t="s">
        <v>43</v>
      </c>
      <c r="D318" s="32" t="s">
        <v>44</v>
      </c>
      <c r="E318" s="32" t="s">
        <v>45</v>
      </c>
      <c r="F318" s="32" t="s">
        <v>46</v>
      </c>
      <c r="G318" s="24"/>
      <c r="H318" s="24"/>
      <c r="I318" s="24"/>
      <c r="J318" s="24"/>
      <c r="K318" s="24"/>
    </row>
    <row r="319" spans="1:11" x14ac:dyDescent="0.3">
      <c r="A319" s="33" t="s">
        <v>205</v>
      </c>
      <c r="B319" s="34" t="str">
        <f ca="1">IFERROR(INDEX(UNSPSCDes,MATCH(INDIRECT(ADDRESS(ROW(),COLUMN()-1,4)),UNSPSCCode,0)),IF(INDIRECT(ADDRESS(ROW(),COLUMN()-1,4))="50202310","Agua mineral",""))</f>
        <v>Agua mineral</v>
      </c>
      <c r="C319" s="35" t="str">
        <f>IFERROR(VLOOKUP("UD",'[1]Informacion '!P:Q,2,FALSE),"")</f>
        <v>Unidad</v>
      </c>
      <c r="D319" s="33">
        <v>300</v>
      </c>
      <c r="E319" s="36">
        <v>46</v>
      </c>
      <c r="F319" s="37">
        <f t="shared" ref="F319:F324" ca="1" si="9">INDIRECT(ADDRESS(ROW(),COLUMN()-2,4))*INDIRECT(ADDRESS(ROW(),COLUMN()-1,4))</f>
        <v>13800</v>
      </c>
      <c r="G319" s="24"/>
      <c r="H319" s="24"/>
      <c r="I319" s="24"/>
      <c r="J319" s="24"/>
      <c r="K319" s="24"/>
    </row>
    <row r="320" spans="1:11" x14ac:dyDescent="0.3">
      <c r="A320" s="33" t="s">
        <v>205</v>
      </c>
      <c r="B320" s="34" t="str">
        <f ca="1">IFERROR(INDEX(UNSPSCDes,MATCH(INDIRECT(ADDRESS(ROW(),COLUMN()-1,4)),UNSPSCCode,0)),IF(INDIRECT(ADDRESS(ROW(),COLUMN()-1,4))="50202310","Agua mineral",""))</f>
        <v>Agua mineral</v>
      </c>
      <c r="C320" s="35" t="str">
        <f>IFERROR(VLOOKUP("PAQ",'[1]Informacion '!P:Q,2,FALSE),"")</f>
        <v>Paquete</v>
      </c>
      <c r="D320" s="33">
        <v>300</v>
      </c>
      <c r="E320" s="36">
        <v>415</v>
      </c>
      <c r="F320" s="37">
        <f t="shared" ca="1" si="9"/>
        <v>124500</v>
      </c>
      <c r="G320" s="24"/>
      <c r="H320" s="24"/>
      <c r="I320" s="24"/>
      <c r="J320" s="24"/>
      <c r="K320" s="24"/>
    </row>
    <row r="321" spans="1:11" x14ac:dyDescent="0.3">
      <c r="A321" s="33">
        <v>50161509</v>
      </c>
      <c r="B321" s="3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1" s="35" t="str">
        <f>IFERROR(VLOOKUP("PAQ",'[1]Informacion '!P:Q,2,FALSE),"")</f>
        <v>Paquete</v>
      </c>
      <c r="D321" s="33">
        <v>300</v>
      </c>
      <c r="E321" s="36">
        <v>275</v>
      </c>
      <c r="F321" s="37">
        <f t="shared" ca="1" si="9"/>
        <v>82500</v>
      </c>
      <c r="G321" s="24"/>
      <c r="H321" s="24"/>
      <c r="I321" s="24"/>
      <c r="J321" s="24"/>
      <c r="K321" s="24"/>
    </row>
    <row r="322" spans="1:11" x14ac:dyDescent="0.3">
      <c r="A322" s="33" t="s">
        <v>206</v>
      </c>
      <c r="B322" s="34" t="str">
        <f ca="1">IFERROR(INDEX(UNSPSCDes,MATCH(INDIRECT(ADDRESS(ROW(),COLUMN()-1,4)),UNSPSCCode,0)),IF(INDIRECT(ADDRESS(ROW(),COLUMN()-1,4))="50201714","Cremas no lácteas",""))</f>
        <v>Cremas no lácteas</v>
      </c>
      <c r="C322" s="35" t="str">
        <f>IFERROR(VLOOKUP("UD",'[1]Informacion '!P:Q,2,FALSE),"")</f>
        <v>Unidad</v>
      </c>
      <c r="D322" s="33">
        <v>100</v>
      </c>
      <c r="E322" s="36">
        <v>525</v>
      </c>
      <c r="F322" s="37">
        <f t="shared" ca="1" si="9"/>
        <v>52500</v>
      </c>
      <c r="G322" s="24"/>
      <c r="H322" s="24"/>
      <c r="I322" s="24"/>
      <c r="J322" s="24"/>
      <c r="K322" s="24"/>
    </row>
    <row r="323" spans="1:11" x14ac:dyDescent="0.3">
      <c r="A323" s="33" t="s">
        <v>207</v>
      </c>
      <c r="B323" s="34" t="str">
        <f ca="1">IFERROR(INDEX(UNSPSCDes,MATCH(INDIRECT(ADDRESS(ROW(),COLUMN()-1,4)),UNSPSCCode,0)),IF(INDIRECT(ADDRESS(ROW(),COLUMN()-1,4))="50201706","Café",""))</f>
        <v>Café</v>
      </c>
      <c r="C323" s="35" t="str">
        <f>IFERROR(VLOOKUP("UD",'[1]Informacion '!P:Q,2,FALSE),"")</f>
        <v>Unidad</v>
      </c>
      <c r="D323" s="33">
        <v>154</v>
      </c>
      <c r="E323" s="36">
        <v>4896</v>
      </c>
      <c r="F323" s="37">
        <f t="shared" ca="1" si="9"/>
        <v>753984</v>
      </c>
      <c r="G323" s="24"/>
      <c r="H323" s="24"/>
      <c r="I323" s="24"/>
      <c r="J323" s="24"/>
      <c r="K323" s="24"/>
    </row>
    <row r="324" spans="1:11" x14ac:dyDescent="0.3">
      <c r="A324" s="33" t="s">
        <v>208</v>
      </c>
      <c r="B324" s="34" t="str">
        <f ca="1">IFERROR(INDEX(UNSPSCDes,MATCH(INDIRECT(ADDRESS(ROW(),COLUMN()-1,4)),UNSPSCCode,0)),IF(INDIRECT(ADDRESS(ROW(),COLUMN()-1,4))="50201711","Té instantáneo",""))</f>
        <v>Té instantáneo</v>
      </c>
      <c r="C324" s="35" t="str">
        <f>IFERROR(VLOOKUP("UD",'[1]Informacion '!P:Q,2,FALSE),"")</f>
        <v>Unidad</v>
      </c>
      <c r="D324" s="33">
        <v>60</v>
      </c>
      <c r="E324" s="36">
        <v>485</v>
      </c>
      <c r="F324" s="37">
        <f t="shared" ca="1" si="9"/>
        <v>29100</v>
      </c>
      <c r="G324" s="24"/>
      <c r="H324" s="24"/>
      <c r="I324" s="24"/>
      <c r="J324" s="24"/>
      <c r="K324" s="24"/>
    </row>
    <row r="325" spans="1:11" x14ac:dyDescent="0.3">
      <c r="A325" s="24"/>
      <c r="B325" s="24"/>
      <c r="C325" s="24"/>
      <c r="D325" s="24"/>
      <c r="E325" s="38" t="s">
        <v>49</v>
      </c>
      <c r="F325" s="39">
        <f ca="1">SUM(Table20[MONTO TOTAL ESTIMADO])</f>
        <v>1056384</v>
      </c>
      <c r="G325" s="24"/>
      <c r="H325" s="24" t="str">
        <f>C312</f>
        <v>Bienes</v>
      </c>
      <c r="I325" s="24" t="str">
        <f>E312</f>
        <v>Sí</v>
      </c>
      <c r="J325" s="24" t="str">
        <f>D312</f>
        <v>Compras Menores</v>
      </c>
      <c r="K325" s="24"/>
    </row>
    <row r="326" spans="1:11" x14ac:dyDescent="0.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</row>
    <row r="327" spans="1:11" x14ac:dyDescent="0.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</row>
    <row r="328" spans="1:11" x14ac:dyDescent="0.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</row>
    <row r="329" spans="1:11" x14ac:dyDescent="0.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</row>
    <row r="330" spans="1:11" x14ac:dyDescent="0.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</row>
    <row r="331" spans="1:11" x14ac:dyDescent="0.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</row>
    <row r="332" spans="1:11" x14ac:dyDescent="0.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</row>
    <row r="333" spans="1:11" x14ac:dyDescent="0.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</row>
    <row r="334" spans="1:11" x14ac:dyDescent="0.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</row>
    <row r="335" spans="1:11" x14ac:dyDescent="0.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</row>
  </sheetData>
  <protectedRanges>
    <protectedRange sqref="F5:G5" name="Rango3"/>
    <protectedRange sqref="E11:E12" name="Rango2"/>
  </protectedRanges>
  <mergeCells count="44">
    <mergeCell ref="A313:A316"/>
    <mergeCell ref="D313:D316"/>
    <mergeCell ref="A254:A257"/>
    <mergeCell ref="D254:D257"/>
    <mergeCell ref="A275:A278"/>
    <mergeCell ref="D275:D278"/>
    <mergeCell ref="A287:A290"/>
    <mergeCell ref="D287:D290"/>
    <mergeCell ref="A221:A224"/>
    <mergeCell ref="D221:D224"/>
    <mergeCell ref="A232:A235"/>
    <mergeCell ref="D232:D235"/>
    <mergeCell ref="A243:A246"/>
    <mergeCell ref="D243:D246"/>
    <mergeCell ref="A159:A162"/>
    <mergeCell ref="D159:D162"/>
    <mergeCell ref="A174:A177"/>
    <mergeCell ref="D174:D177"/>
    <mergeCell ref="A205:A208"/>
    <mergeCell ref="D205:D208"/>
    <mergeCell ref="A86:A89"/>
    <mergeCell ref="D86:D89"/>
    <mergeCell ref="A119:A122"/>
    <mergeCell ref="D119:D122"/>
    <mergeCell ref="A137:A140"/>
    <mergeCell ref="D137:D140"/>
    <mergeCell ref="A30:A33"/>
    <mergeCell ref="D30:D33"/>
    <mergeCell ref="A51:A54"/>
    <mergeCell ref="D51:D54"/>
    <mergeCell ref="A74:A77"/>
    <mergeCell ref="D74:D77"/>
    <mergeCell ref="E9:F9"/>
    <mergeCell ref="E10:F10"/>
    <mergeCell ref="E11:F11"/>
    <mergeCell ref="E12:F12"/>
    <mergeCell ref="A17:A20"/>
    <mergeCell ref="D17:D20"/>
    <mergeCell ref="E8:F8"/>
    <mergeCell ref="A1:A4"/>
    <mergeCell ref="B2:E2"/>
    <mergeCell ref="B3:E3"/>
    <mergeCell ref="E6:F6"/>
    <mergeCell ref="E7:F7"/>
  </mergeCells>
  <dataValidations count="12">
    <dataValidation type="decimal" operator="greaterThan" allowBlank="1" showInputMessage="1" showErrorMessage="1" sqref="D319:E324 D293:E308 D281:E282 D260:E270 D249:E249 D238:E238 D227:E227 D211:E216 D180:E200 D165:E169 D143:E154 D125:E132 D92:E114 D80:E81 D57:E69 D36:E46 D23:E25" xr:uid="{523FB2F4-2265-4BF8-88C3-6D7B4644021B}">
      <formula1>0</formula1>
    </dataValidation>
    <dataValidation type="list" allowBlank="1" showInputMessage="1" showErrorMessage="1" sqref="C319:C324 C293:C308 C281:C282 C260:C270 C249 C238 C227 C211:C216 C180:C200 C165:C169 C143:C154 C125:C132 C92:C114 C80:C81 C57:C69 C36:C46 C23:C25" xr:uid="{60124F3D-27E3-4942-9267-F1CCE99EF12B}">
      <formula1>UnidadesList</formula1>
    </dataValidation>
    <dataValidation type="whole" operator="greaterThan" allowBlank="1" showInputMessage="1" showErrorMessage="1" sqref="A319:A324 A293:A308 A281:A282 A260:A270 A249 A238 A227 A211:A216 A180:A200 A165:A169 A143:A154 A125:A132 A92:A114 A80:A81 A57:A69 A36:A46 A23:A25" xr:uid="{06343AD1-0B7D-48FD-9E98-E58D1F53A49B}">
      <formula1>0</formula1>
    </dataValidation>
    <dataValidation type="list" allowBlank="1" showInputMessage="1" showErrorMessage="1" sqref="F20 F316 F290 F278 F257 F246 F235 F224 F208 F177 F162 F140 F122 F89 F77 F54 F33" xr:uid="{FE580623-C614-4DB9-B358-3F4113BABFB0}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F19 F315 F289 F277 F256 F245 F234 F223 F207 F176 F161 F139 F121 F88 F76 F53 F32" xr:uid="{B9F31913-08CD-4C69-9827-28AF6A1DF9BB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 F314 F288 F276 F255 F244 F233 F222 F206 F175 F160 F138 F120 F87 F75 F52 F31" xr:uid="{23B3F124-7C12-46EC-8315-8A9E2D72D93A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 F313 F287 F275 F254 F243 F232 F221 F205 F174 F159 F137 F119 F86 F74 F51 F30" xr:uid="{F13803AE-1AC3-4903-A903-938A207BAB95}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C19 C315 C289 C277 C256 C245 C234 C223 C207 C176 C161 C139 C121 C88 C76 C53 C32" xr:uid="{E6319993-19BA-4327-829E-C896E7CF9DCC}">
      <formula1>C17</formula1>
    </dataValidation>
    <dataValidation type="date" operator="lessThanOrEqual" allowBlank="1" showInputMessage="1" showErrorMessage="1" sqref="C17 C313 C287 C275 C254 C243 C232 C221 C205 C174 C159 C137 C119 C86 C74 C51 C30" xr:uid="{D58343F6-327F-413B-B389-28E21D326374}">
      <formula1>C19</formula1>
    </dataValidation>
    <dataValidation operator="greaterThan" allowBlank="1" showInputMessage="1" showErrorMessage="1" sqref="E10:F10" xr:uid="{99A4388F-6641-4CCB-A52A-4A172F636760}"/>
    <dataValidation type="date" operator="greaterThan" allowBlank="1" showInputMessage="1" showErrorMessage="1" sqref="E12:F12" xr:uid="{AE9696EA-27D5-4B41-9042-F2065D1989FE}">
      <formula1>36526</formula1>
    </dataValidation>
    <dataValidation type="whole" allowBlank="1" showInputMessage="1" showErrorMessage="1" sqref="E11:F11" xr:uid="{725F5DE8-4D54-4B61-AA48-446677FE2943}">
      <formula1>1900</formula1>
      <formula2>3000</formula2>
    </dataValidation>
  </dataValidations>
  <pageMargins left="0.70866141732283472" right="0.70866141732283472" top="0.74803149606299213" bottom="0.74803149606299213" header="0.31496062992125984" footer="0.31496062992125984"/>
  <pageSetup paperSize="14" scale="95" orientation="landscape" r:id="rId1"/>
  <rowBreaks count="1" manualBreakCount="1">
    <brk id="287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Button 2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Button 2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Button 2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Button 2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Button 2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Button 2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Button 2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Button 2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Button 2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Button 3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Button 3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Button 3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Button 3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Button 34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Button 35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Button 3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Button 3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Button 38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Button 39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Button 4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Button 4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Button 4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Button 4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Button 4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Button 4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Button 4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Button 4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Button 4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Button 4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Button 5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Button 5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Button 5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Button 5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Button 5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Button 5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Button 5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Button 5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Button 5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Button 5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Button 6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Button 6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Button 6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Button 63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Button 64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Button 6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Button 6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Button 6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Button 6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Button 6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Button 7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Button 7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Button 7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Button 73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Button 74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Button 7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Button 7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Button 7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Button 7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Button 7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Button 8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Button 8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Button 8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Button 8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Button 8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Button 8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Button 8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Button 87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Button 88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Button 8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Button 9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Button 9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Button 9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Button 9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Button 94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Button 95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Button 9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Button 9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Button 9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Button 9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Button 10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Button 10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Button 10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Button 10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Button 10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Button 10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Button 10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Button 10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Button 10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Button 10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Button 11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Button 11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Button 11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Button 11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Button 11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Button 11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Button 11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Button 117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Button 118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Button 11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Button 12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Button 12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Button 12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Button 12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Button 12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Button 125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Button 126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Button 12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Button 128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Button 129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Button 13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Button 131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Button 132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Button 13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Button 134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Button 135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Button 13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Button 13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Button 13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Button 13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Button 14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Button 14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Button 14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Button 14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Button 14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Button 14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Button 14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Button 147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Button 148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Button 14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Button 15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Button 151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Button 152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Button 15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Button 15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Button 15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Button 15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Button 15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Button 15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Button 159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Button 160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Button 16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Button 16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Button 16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Button 16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Button 16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Button 16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Button 167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Button 168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Button 169">
              <controlPr defaultSize="0" autoFill="0" autoLine="0" autoPict="0" macro="[1]!Sheet1.deleteProcedure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Button 170">
              <controlPr defaultSize="0" autoFill="0" autoLine="0" autoPict="0" macro="[1]!Sheet1.InsertNewTabl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Button 171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Button 172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Button 173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Button 174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Button 175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Button 176">
              <controlPr defaultSize="0" autoFill="0" autoLine="0" autoPict="0" macro="[1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Button 177">
              <controlPr defaultSize="0" autoFill="0" autoLine="0" autoPict="0" macro="[1]!Sheet1.CopyNewProcedure">
                <anchor moveWithCells="1" sizeWithCells="1">
                  <from>
                    <xdr:col>0</xdr:col>
                    <xdr:colOff>0</xdr:colOff>
                    <xdr:row>328</xdr:row>
                    <xdr:rowOff>0</xdr:rowOff>
                  </from>
                  <to>
                    <xdr:col>1</xdr:col>
                    <xdr:colOff>457200</xdr:colOff>
                    <xdr:row>329</xdr:row>
                    <xdr:rowOff>160020</xdr:rowOff>
                  </to>
                </anchor>
              </controlPr>
            </control>
          </mc:Choice>
        </mc:AlternateContent>
      </controls>
    </mc:Choice>
  </mc:AlternateContent>
  <tableParts count="17"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PACC AÑO 2023</vt:lpstr>
      <vt:lpstr>TotalEstColumnName</vt:lpstr>
      <vt:lpstr>TotalEstColumnValue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ecompras</dc:creator>
  <cp:lastModifiedBy>USUARIO</cp:lastModifiedBy>
  <cp:lastPrinted>2023-02-15T18:56:07Z</cp:lastPrinted>
  <dcterms:created xsi:type="dcterms:W3CDTF">2023-02-15T18:37:56Z</dcterms:created>
  <dcterms:modified xsi:type="dcterms:W3CDTF">2023-02-16T14:41:31Z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2023-02-16T14:41:31Z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a7e02a67-0701-415d-a6e0-d0efcd7305f9</vt:lpwstr>
  </property>
  <property fmtid="{D5CDD505-2E9C-101B-9397-08002B2CF9AE}" pid="8" name="MSIP_Label_defa4170-0d19-0005-0004-bc88714345d2_ContentBits">
    <vt:lpwstr>0</vt:lpwstr>
  </property>
</Properties>
</file>